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 TRIM 05" sheetId="6" r:id="rId1"/>
    <sheet name="RESULTADOS OPERATIVOS en soles" sheetId="4" state="hidden" r:id="rId2"/>
  </sheets>
  <definedNames>
    <definedName name="_xlnm.Print_Area" localSheetId="0">'RESULT OPERAT I TRIM 05'!#REF!</definedName>
    <definedName name="_xlnm.Print_Area" localSheetId="1">'RESULTADOS OPERATIVOS en soles'!$B$47:$F$144</definedName>
    <definedName name="_xlnm.Print_Titles" localSheetId="0">'RESULT OPERAT I TRIM 05'!$1:$9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I24" i="6"/>
  <c r="I25"/>
  <c r="I12"/>
  <c r="I18"/>
  <c r="I17"/>
  <c r="I16"/>
  <c r="I15"/>
  <c r="I14"/>
  <c r="I13"/>
  <c r="E27"/>
  <c r="E12"/>
  <c r="F27"/>
  <c r="F38"/>
  <c r="F108"/>
  <c r="F102"/>
  <c r="F97"/>
  <c r="F73"/>
  <c r="F61"/>
  <c r="F24"/>
  <c r="F12"/>
  <c r="F110"/>
  <c r="F104"/>
  <c r="F101"/>
  <c r="F88"/>
  <c r="F84"/>
  <c r="F76"/>
  <c r="F66"/>
  <c r="F70"/>
  <c r="F67"/>
  <c r="F65"/>
  <c r="F56"/>
  <c r="F54"/>
  <c r="F53"/>
  <c r="F52"/>
  <c r="F51"/>
  <c r="F50"/>
  <c r="F49"/>
  <c r="F48"/>
  <c r="F47"/>
  <c r="F45"/>
  <c r="F44"/>
  <c r="F43"/>
  <c r="F42"/>
  <c r="F39"/>
  <c r="F37"/>
  <c r="F36"/>
  <c r="F35"/>
  <c r="F34"/>
  <c r="F33"/>
  <c r="F32"/>
  <c r="F31"/>
  <c r="F30"/>
  <c r="F29"/>
  <c r="F28"/>
  <c r="F25"/>
  <c r="F18"/>
  <c r="G18" s="1"/>
  <c r="F17"/>
  <c r="F16"/>
  <c r="F15"/>
  <c r="F14"/>
  <c r="F13"/>
  <c r="E108"/>
  <c r="E102"/>
  <c r="E97"/>
  <c r="E73"/>
  <c r="E61"/>
  <c r="E24"/>
  <c r="E66"/>
  <c r="G55"/>
  <c r="G41"/>
  <c r="G40"/>
  <c r="G35"/>
  <c r="G33"/>
  <c r="G56"/>
  <c r="G20"/>
  <c r="F10"/>
  <c r="G13"/>
  <c r="G16"/>
  <c r="G30"/>
  <c r="G31"/>
  <c r="G36"/>
  <c r="G43"/>
  <c r="G44"/>
  <c r="G46"/>
  <c r="G48"/>
  <c r="G51"/>
  <c r="G52"/>
  <c r="G53"/>
  <c r="G66"/>
  <c r="G67"/>
  <c r="G84"/>
  <c r="G88"/>
  <c r="G89"/>
  <c r="E92"/>
  <c r="F92"/>
  <c r="E93"/>
  <c r="F93"/>
  <c r="E94"/>
  <c r="F94"/>
  <c r="E98"/>
  <c r="F98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G108" i="6"/>
  <c r="G90"/>
  <c r="G21"/>
  <c r="G17"/>
  <c r="G70"/>
  <c r="G32"/>
  <c r="D29" i="4"/>
  <c r="F32"/>
  <c r="F31"/>
  <c r="F30"/>
  <c r="F26"/>
  <c r="F132"/>
  <c r="F138"/>
  <c r="E108"/>
  <c r="F102"/>
  <c r="D98"/>
  <c r="D28"/>
  <c r="F75"/>
  <c r="E66"/>
  <c r="F60"/>
  <c r="F49"/>
  <c r="G110" i="6"/>
  <c r="G62"/>
  <c r="G28"/>
  <c r="G14"/>
  <c r="E27" i="4"/>
  <c r="F108"/>
  <c r="E29"/>
  <c r="F29"/>
  <c r="G54" i="6"/>
  <c r="G50"/>
  <c r="F114" l="1"/>
  <c r="G102"/>
  <c r="G24"/>
  <c r="G73"/>
  <c r="G61"/>
  <c r="G97"/>
  <c r="G82"/>
  <c r="G47"/>
  <c r="G38"/>
  <c r="G25"/>
  <c r="G12"/>
  <c r="G99"/>
  <c r="F66" i="4"/>
  <c r="D27"/>
  <c r="F27" s="1"/>
  <c r="D144"/>
  <c r="D23"/>
  <c r="F25"/>
  <c r="E28"/>
  <c r="F98"/>
  <c r="E144"/>
  <c r="F144" s="1"/>
  <c r="E114" i="6"/>
  <c r="G104"/>
  <c r="G85"/>
  <c r="G49"/>
  <c r="G45"/>
  <c r="G39"/>
  <c r="G34"/>
  <c r="G29"/>
  <c r="G19"/>
  <c r="G65"/>
  <c r="G27" l="1"/>
  <c r="F28" i="4"/>
  <c r="E23"/>
  <c r="F23" s="1"/>
  <c r="G37" i="6"/>
  <c r="G114" l="1"/>
</calcChain>
</file>

<file path=xl/sharedStrings.xml><?xml version="1.0" encoding="utf-8"?>
<sst xmlns="http://schemas.openxmlformats.org/spreadsheetml/2006/main" count="405" uniqueCount="199">
  <si>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</si>
  <si>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</si>
  <si>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</si>
  <si>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</si>
  <si>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</si>
  <si>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</si>
  <si>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</si>
  <si>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</si>
  <si>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</si>
  <si>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</si>
  <si>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</si>
  <si>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</si>
  <si>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</si>
  <si>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</si>
  <si>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</si>
  <si>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</si>
  <si>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</si>
  <si>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</si>
  <si>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</si>
  <si>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</si>
  <si>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</si>
  <si>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</si>
  <si>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</si>
  <si>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</si>
  <si>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</si>
  <si>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</si>
  <si>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</si>
  <si>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</si>
  <si>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</si>
  <si>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</si>
  <si>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</si>
  <si>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</si>
  <si>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</si>
  <si>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</si>
  <si>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</si>
  <si>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</si>
  <si>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</si>
  <si>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</si>
  <si>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</si>
  <si>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</si>
  <si>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</si>
  <si>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</si>
  <si>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</si>
  <si>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</si>
  <si>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</si>
  <si>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</si>
  <si>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</si>
  <si>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</si>
  <si>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</si>
  <si>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</si>
  <si>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</si>
  <si>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</si>
  <si>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</si>
  <si>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</si>
  <si>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</si>
  <si>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</si>
  <si>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</si>
  <si>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</si>
  <si>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</si>
  <si>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</si>
  <si>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</si>
  <si>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</si>
  <si>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</si>
  <si>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</si>
  <si>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</si>
  <si>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</si>
  <si>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</si>
  <si>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</si>
  <si>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</si>
  <si>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</si>
  <si>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</si>
  <si>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</si>
  <si>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</si>
  <si>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</si>
  <si>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</si>
  <si>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</si>
  <si>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</si>
  <si>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</si>
  <si>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</si>
  <si>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</si>
  <si>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</si>
  <si>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</si>
  <si>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</si>
  <si>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</si>
  <si>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</si>
  <si>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</si>
  <si>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</si>
  <si>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</si>
  <si>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</si>
  <si>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</si>
  <si>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</si>
  <si>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</si>
  <si>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</si>
  <si>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</si>
  <si>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</si>
  <si>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</si>
  <si>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</si>
  <si>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</si>
  <si>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</si>
  <si>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</si>
  <si>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</si>
  <si>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</si>
  <si>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</si>
  <si>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</si>
  <si>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</si>
  <si>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</si>
  <si>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</si>
  <si>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</si>
  <si>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</si>
  <si>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</si>
  <si>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</si>
  <si>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</si>
  <si>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</si>
  <si>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</si>
  <si>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</si>
  <si>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</si>
  <si>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</si>
  <si>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</si>
  <si>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</si>
  <si>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</si>
  <si>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</si>
  <si>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</si>
  <si>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</si>
  <si>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</si>
  <si>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</si>
  <si>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</si>
  <si>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</si>
  <si>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</si>
  <si>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</si>
  <si>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</si>
  <si>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</si>
  <si>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</si>
  <si>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</si>
  <si>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</si>
  <si>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</si>
  <si>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</si>
  <si>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</si>
  <si>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</si>
  <si>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</si>
  <si>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</si>
  <si>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</si>
  <si>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</si>
  <si>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</si>
  <si>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</si>
  <si>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</si>
  <si>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</si>
  <si>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</si>
  <si>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</si>
  <si>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</si>
  <si>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</si>
  <si>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</si>
  <si>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</si>
  <si>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</si>
  <si>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</si>
  <si>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</si>
  <si>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</si>
  <si>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</si>
  <si>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</si>
  <si>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</si>
  <si>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</si>
  <si>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</si>
  <si>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</si>
  <si>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</si>
  <si>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</si>
  <si>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</si>
  <si>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</si>
  <si>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</si>
  <si>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</si>
  <si>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</si>
  <si>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</si>
  <si>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Pliego 521 : Universidad Nacional de Piura</t>
  </si>
  <si>
    <t>EJECUCION AL    I TRIMESTRE</t>
  </si>
  <si>
    <t>05.</t>
  </si>
  <si>
    <t>09</t>
  </si>
  <si>
    <t>Retribuciones y Complementos - Obreros permanentes</t>
  </si>
  <si>
    <t>Retribuciones y Complementos - Ley de Universitaria</t>
  </si>
  <si>
    <t>70</t>
  </si>
  <si>
    <t>Otros servicios de terceros</t>
  </si>
  <si>
    <t>Sentencias judiciales y laudos arbitrales</t>
  </si>
  <si>
    <t>18</t>
  </si>
  <si>
    <t>43</t>
  </si>
  <si>
    <t>Ayuda financiera a estudiantes y a la investigación universitaria</t>
  </si>
  <si>
    <t>23</t>
  </si>
  <si>
    <t>Combustible y lubricantes</t>
  </si>
  <si>
    <t>29</t>
  </si>
  <si>
    <t>Materiales de construcción</t>
  </si>
  <si>
    <t>60</t>
  </si>
  <si>
    <t>71</t>
  </si>
  <si>
    <t>Adquisición de inmuebles</t>
  </si>
  <si>
    <t>31</t>
  </si>
  <si>
    <t>46</t>
  </si>
  <si>
    <t>47</t>
  </si>
  <si>
    <t>44</t>
  </si>
  <si>
    <t>AL I TRIMESTRE 2005</t>
  </si>
  <si>
    <t>GRUPO GENÉRICO / ESPECÍFICA</t>
  </si>
  <si>
    <t>Materiales de Construcción</t>
  </si>
  <si>
    <t>Bienes de distribución gratuita</t>
  </si>
  <si>
    <t>Insumos médicos, quirúrgicos u odontológicos</t>
  </si>
  <si>
    <t>Instrumental médico quirúrgico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</si>
</sst>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#,##0.0_);\(#,##0.0\)"/>
    <numFmt numFmtId="166" formatCode="0.000%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5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6" fontId="2" fillId="0" borderId="0" xfId="1" applyNumberFormat="1" applyFont="1"/>
    <xf numFmtId="0" fontId="2" fillId="2" borderId="0" xfId="0" applyFont="1" applyFill="1"/>
    <xf numFmtId="164" fontId="2" fillId="0" borderId="0" xfId="2" applyFont="1"/>
    <xf numFmtId="39" fontId="4" fillId="0" borderId="1" xfId="0" applyNumberFormat="1" applyFont="1" applyBorder="1"/>
    <xf numFmtId="39" fontId="2" fillId="0" borderId="0" xfId="0" applyNumberFormat="1" applyFont="1"/>
    <xf numFmtId="39" fontId="4" fillId="0" borderId="0" xfId="0" applyNumberFormat="1" applyFont="1" applyBorder="1"/>
    <xf numFmtId="39" fontId="2" fillId="0" borderId="0" xfId="0" applyNumberFormat="1" applyFont="1" applyBorder="1"/>
    <xf numFmtId="39" fontId="4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/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I1463"/>
  <sheetViews>
    <sheetView tabSelected="1" topLeftCell="A22" zoomScaleSheetLayoutView="100" workbookViewId="0">
      <selection activeCell="E41" sqref="E41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8" width="11.42578125" style="1"/>
    <col min="9" max="9" width="12.42578125" style="1" bestFit="1" customWidth="1"/>
    <col min="10" max="16384" width="11.42578125" style="1"/>
  </cols>
  <sheetData>
    <row r="1" spans="2:9" ht="12.75" customHeight="1">
      <c r="B1" s="54" t="s">
        <v>94</v>
      </c>
      <c r="C1" s="54"/>
      <c r="D1" s="54"/>
      <c r="E1" s="54"/>
      <c r="F1" s="54"/>
      <c r="G1" s="54"/>
    </row>
    <row r="2" spans="2:9" ht="12.75" customHeight="1">
      <c r="B2" s="54" t="s">
        <v>193</v>
      </c>
      <c r="C2" s="54"/>
      <c r="D2" s="54"/>
      <c r="E2" s="54"/>
      <c r="F2" s="54"/>
      <c r="G2" s="54"/>
    </row>
    <row r="3" spans="2:9" ht="12.75" customHeight="1">
      <c r="B3" s="54" t="s">
        <v>97</v>
      </c>
      <c r="C3" s="54"/>
      <c r="D3" s="54"/>
      <c r="E3" s="54"/>
      <c r="F3" s="54"/>
      <c r="G3" s="54"/>
    </row>
    <row r="5" spans="2:9">
      <c r="B5" s="2" t="s">
        <v>170</v>
      </c>
    </row>
    <row r="6" spans="2:9" ht="11.25" customHeight="1">
      <c r="B6" s="50" t="s">
        <v>194</v>
      </c>
      <c r="C6" s="50"/>
      <c r="D6" s="50"/>
      <c r="E6" s="50" t="s">
        <v>106</v>
      </c>
      <c r="F6" s="50" t="s">
        <v>171</v>
      </c>
      <c r="G6" s="50" t="s">
        <v>3</v>
      </c>
    </row>
    <row r="7" spans="2:9" ht="11.25" customHeight="1">
      <c r="B7" s="55"/>
      <c r="C7" s="55"/>
      <c r="D7" s="55"/>
      <c r="E7" s="51"/>
      <c r="F7" s="51"/>
      <c r="G7" s="51"/>
    </row>
    <row r="8" spans="2:9" ht="11.25" customHeight="1">
      <c r="B8" s="56"/>
      <c r="C8" s="56"/>
      <c r="D8" s="56"/>
      <c r="E8" s="52"/>
      <c r="F8" s="52"/>
      <c r="G8" s="52"/>
    </row>
    <row r="9" spans="2:9" ht="11.25" customHeight="1">
      <c r="C9" s="3"/>
    </row>
    <row r="10" spans="2:9">
      <c r="B10" s="15" t="s">
        <v>91</v>
      </c>
      <c r="C10" s="16"/>
      <c r="D10" s="17"/>
      <c r="E10" s="18"/>
      <c r="F10" s="18">
        <f>+'RESULTADOS OPERATIVOS en soles'!E47/1000</f>
        <v>0</v>
      </c>
      <c r="G10" s="19">
        <v>0</v>
      </c>
    </row>
    <row r="11" spans="2:9">
      <c r="B11" s="22"/>
      <c r="C11" s="23"/>
      <c r="D11" s="24"/>
      <c r="E11" s="25"/>
      <c r="F11" s="25"/>
      <c r="G11" s="26"/>
    </row>
    <row r="12" spans="2:9">
      <c r="B12" s="20" t="s">
        <v>55</v>
      </c>
      <c r="C12" s="20"/>
      <c r="D12" s="20"/>
      <c r="E12" s="18">
        <f>SUM(E13:E22)</f>
        <v>22602300</v>
      </c>
      <c r="F12" s="45">
        <f>SUM(F13:F22)</f>
        <v>5593633.1799999997</v>
      </c>
      <c r="G12" s="19">
        <f t="shared" ref="G12:G20" si="0">+F12/E12</f>
        <v>0.24748070683072076</v>
      </c>
      <c r="I12" s="44">
        <f>SUM(I13:I21)</f>
        <v>5593633.2399999993</v>
      </c>
    </row>
    <row r="13" spans="2:9">
      <c r="C13" s="6" t="s">
        <v>32</v>
      </c>
      <c r="D13" s="1" t="s">
        <v>54</v>
      </c>
      <c r="E13" s="7">
        <v>6420638</v>
      </c>
      <c r="F13" s="46">
        <f>529165.03+527743.55+529291.91</f>
        <v>1586200.4900000002</v>
      </c>
      <c r="G13" s="8">
        <f t="shared" si="0"/>
        <v>0.24704717662014278</v>
      </c>
      <c r="I13" s="44">
        <f>529165.03+527743.55+529291.97</f>
        <v>1586200.55</v>
      </c>
    </row>
    <row r="14" spans="2:9">
      <c r="C14" s="6" t="s">
        <v>172</v>
      </c>
      <c r="D14" s="1" t="s">
        <v>175</v>
      </c>
      <c r="E14" s="7">
        <v>11052146</v>
      </c>
      <c r="F14" s="46">
        <f>853000.16+856777.85+843284.86</f>
        <v>2553062.87</v>
      </c>
      <c r="G14" s="8">
        <f t="shared" si="0"/>
        <v>0.23100155119195856</v>
      </c>
      <c r="I14" s="44">
        <f>853000.16+856777.85+843284.86</f>
        <v>2553062.87</v>
      </c>
    </row>
    <row r="15" spans="2:9">
      <c r="C15" s="6" t="s">
        <v>173</v>
      </c>
      <c r="D15" s="1" t="s">
        <v>174</v>
      </c>
      <c r="E15" s="7">
        <v>1519718</v>
      </c>
      <c r="F15" s="46">
        <f>126024.46+124432.34+125165.88</f>
        <v>375622.68</v>
      </c>
      <c r="G15" s="8"/>
      <c r="I15" s="44">
        <f>126024.46+124432.34+125165.88</f>
        <v>375622.68</v>
      </c>
    </row>
    <row r="16" spans="2:9">
      <c r="C16" s="6" t="s">
        <v>34</v>
      </c>
      <c r="D16" s="1" t="s">
        <v>26</v>
      </c>
      <c r="E16" s="7">
        <v>1009219</v>
      </c>
      <c r="F16" s="46">
        <f>108054+100423.37+91069.42</f>
        <v>299546.78999999998</v>
      </c>
      <c r="G16" s="8">
        <f t="shared" si="0"/>
        <v>0.29681049405530413</v>
      </c>
      <c r="I16" s="44">
        <f>108054+100423.37+91069.42</f>
        <v>299546.78999999998</v>
      </c>
    </row>
    <row r="17" spans="2:9">
      <c r="C17" s="6" t="s">
        <v>35</v>
      </c>
      <c r="D17" s="1" t="s">
        <v>27</v>
      </c>
      <c r="E17" s="7">
        <v>1531696</v>
      </c>
      <c r="F17" s="46">
        <f>124267.22+123976.69+122853.42</f>
        <v>371097.33</v>
      </c>
      <c r="G17" s="8">
        <f t="shared" si="0"/>
        <v>0.24227870935224746</v>
      </c>
      <c r="I17" s="44">
        <f>124267.22+123976.69+122853.42</f>
        <v>371097.33</v>
      </c>
    </row>
    <row r="18" spans="2:9">
      <c r="C18" s="6" t="s">
        <v>36</v>
      </c>
      <c r="D18" s="1" t="s">
        <v>28</v>
      </c>
      <c r="E18" s="7">
        <v>200936</v>
      </c>
      <c r="F18" s="46">
        <f>21868.1+6887.59+31047.33</f>
        <v>59803.020000000004</v>
      </c>
      <c r="G18" s="8">
        <f t="shared" si="0"/>
        <v>0.29762222797308596</v>
      </c>
      <c r="I18" s="44">
        <f>21868.1+6887.59+31047.33</f>
        <v>59803.020000000004</v>
      </c>
    </row>
    <row r="19" spans="2:9">
      <c r="C19" s="6" t="s">
        <v>109</v>
      </c>
      <c r="D19" s="1" t="s">
        <v>110</v>
      </c>
      <c r="E19" s="7">
        <v>813867</v>
      </c>
      <c r="F19" s="46">
        <v>347800</v>
      </c>
      <c r="G19" s="8">
        <f t="shared" si="0"/>
        <v>0.42734255105563929</v>
      </c>
      <c r="I19" s="1">
        <v>347800</v>
      </c>
    </row>
    <row r="20" spans="2:9">
      <c r="C20" s="6" t="s">
        <v>176</v>
      </c>
      <c r="D20" s="1" t="s">
        <v>178</v>
      </c>
      <c r="E20" s="7">
        <v>41427</v>
      </c>
      <c r="F20" s="46"/>
      <c r="G20" s="8">
        <f t="shared" si="0"/>
        <v>0</v>
      </c>
    </row>
    <row r="21" spans="2:9">
      <c r="C21" s="6" t="s">
        <v>38</v>
      </c>
      <c r="D21" s="1" t="s">
        <v>30</v>
      </c>
      <c r="E21" s="7">
        <v>12653</v>
      </c>
      <c r="F21" s="46">
        <v>500</v>
      </c>
      <c r="G21" s="8">
        <f>+F21/E21</f>
        <v>3.951632024025923E-2</v>
      </c>
      <c r="I21" s="1">
        <v>500</v>
      </c>
    </row>
    <row r="22" spans="2:9">
      <c r="C22" s="6" t="s">
        <v>164</v>
      </c>
      <c r="D22" s="1" t="s">
        <v>165</v>
      </c>
      <c r="E22" s="7"/>
      <c r="F22" s="46"/>
      <c r="G22" s="8"/>
    </row>
    <row r="23" spans="2:9">
      <c r="C23" s="6"/>
      <c r="E23" s="7"/>
      <c r="F23" s="46"/>
    </row>
    <row r="24" spans="2:9">
      <c r="B24" s="20" t="s">
        <v>56</v>
      </c>
      <c r="C24" s="16"/>
      <c r="D24" s="17"/>
      <c r="E24" s="18">
        <f>SUM(E25:E26)</f>
        <v>4034159</v>
      </c>
      <c r="F24" s="45">
        <f>SUM(F25:F26)</f>
        <v>1023126.22</v>
      </c>
      <c r="G24" s="19">
        <f>+F24/E24</f>
        <v>0.25361573998446763</v>
      </c>
      <c r="I24" s="44">
        <f>SUM(I25:I26)</f>
        <v>1023127.22</v>
      </c>
    </row>
    <row r="25" spans="2:9">
      <c r="C25" s="6" t="s">
        <v>39</v>
      </c>
      <c r="D25" s="1" t="s">
        <v>31</v>
      </c>
      <c r="E25" s="7">
        <v>3876409</v>
      </c>
      <c r="F25" s="46">
        <f>318083.88+321667.49+317524.85</f>
        <v>957276.22</v>
      </c>
      <c r="G25" s="8">
        <f>+F25/E25</f>
        <v>0.24694923058944501</v>
      </c>
      <c r="I25" s="1">
        <f>318083.88+321668.49+317524.85</f>
        <v>957277.22</v>
      </c>
    </row>
    <row r="26" spans="2:9">
      <c r="C26" s="14" t="s">
        <v>179</v>
      </c>
      <c r="D26" s="1" t="s">
        <v>110</v>
      </c>
      <c r="E26" s="7">
        <v>157750</v>
      </c>
      <c r="F26" s="46">
        <v>65850</v>
      </c>
      <c r="I26" s="1">
        <v>65850</v>
      </c>
    </row>
    <row r="27" spans="2:9">
      <c r="B27" s="20" t="s">
        <v>57</v>
      </c>
      <c r="C27" s="16"/>
      <c r="D27" s="20"/>
      <c r="E27" s="18">
        <f>SUM(E28:E59)</f>
        <v>14135719</v>
      </c>
      <c r="F27" s="45">
        <f>SUM(F28:F59)</f>
        <v>3016395.16</v>
      </c>
      <c r="G27" s="19">
        <f t="shared" ref="G27:G56" si="1">+F27/E27</f>
        <v>0.21338816653047504</v>
      </c>
    </row>
    <row r="28" spans="2:9">
      <c r="C28" s="6" t="s">
        <v>47</v>
      </c>
      <c r="D28" s="1" t="s">
        <v>40</v>
      </c>
      <c r="E28" s="7">
        <v>1146566</v>
      </c>
      <c r="F28" s="46">
        <f>24722.6+43900.28+189432.82</f>
        <v>258055.7</v>
      </c>
      <c r="G28" s="8">
        <f t="shared" si="1"/>
        <v>0.22506833448750443</v>
      </c>
      <c r="H28" s="7"/>
    </row>
    <row r="29" spans="2:9">
      <c r="C29" s="6" t="s">
        <v>48</v>
      </c>
      <c r="D29" s="1" t="s">
        <v>41</v>
      </c>
      <c r="E29" s="7">
        <v>75611</v>
      </c>
      <c r="F29" s="46">
        <f>300+5062.8+3100.5</f>
        <v>8463.2999999999993</v>
      </c>
      <c r="G29" s="8">
        <f t="shared" si="1"/>
        <v>0.11193212627792251</v>
      </c>
    </row>
    <row r="30" spans="2:9">
      <c r="C30" s="6" t="s">
        <v>59</v>
      </c>
      <c r="D30" s="1" t="s">
        <v>58</v>
      </c>
      <c r="E30" s="7">
        <v>648735</v>
      </c>
      <c r="F30" s="46">
        <f>85753.21+16108.71+52845.83</f>
        <v>154707.75</v>
      </c>
      <c r="G30" s="8">
        <f t="shared" si="1"/>
        <v>0.2384760341279567</v>
      </c>
    </row>
    <row r="31" spans="2:9">
      <c r="C31" s="6" t="s">
        <v>49</v>
      </c>
      <c r="D31" s="1" t="s">
        <v>136</v>
      </c>
      <c r="E31" s="7">
        <v>1222708</v>
      </c>
      <c r="F31" s="46">
        <f>56229.14+38083.03+35981.96</f>
        <v>130294.13</v>
      </c>
      <c r="G31" s="8">
        <f t="shared" si="1"/>
        <v>0.10656193465651652</v>
      </c>
    </row>
    <row r="32" spans="2:9">
      <c r="C32" s="6" t="s">
        <v>50</v>
      </c>
      <c r="D32" s="1" t="s">
        <v>43</v>
      </c>
      <c r="E32" s="7">
        <v>1725154</v>
      </c>
      <c r="F32" s="46">
        <f>53672.89+56577.98+121167.08</f>
        <v>231417.95</v>
      </c>
      <c r="G32" s="8">
        <f t="shared" si="1"/>
        <v>0.13414335763647767</v>
      </c>
    </row>
    <row r="33" spans="3:7">
      <c r="C33" s="6" t="s">
        <v>184</v>
      </c>
      <c r="D33" s="1" t="s">
        <v>195</v>
      </c>
      <c r="E33" s="7">
        <v>1427</v>
      </c>
      <c r="F33" s="46">
        <f>78.59+586.5</f>
        <v>665.09</v>
      </c>
      <c r="G33" s="8">
        <f t="shared" si="1"/>
        <v>0.46607568325157678</v>
      </c>
    </row>
    <row r="34" spans="3:7">
      <c r="C34" s="6" t="s">
        <v>51</v>
      </c>
      <c r="D34" s="1" t="s">
        <v>44</v>
      </c>
      <c r="E34" s="7">
        <v>1571231</v>
      </c>
      <c r="F34" s="46">
        <f>54046.59+31744.94+191660.59</f>
        <v>277452.12</v>
      </c>
      <c r="G34" s="8">
        <f t="shared" si="1"/>
        <v>0.17658264125389583</v>
      </c>
    </row>
    <row r="35" spans="3:7">
      <c r="C35" s="6" t="s">
        <v>189</v>
      </c>
      <c r="D35" s="1" t="s">
        <v>196</v>
      </c>
      <c r="E35" s="7">
        <v>12552</v>
      </c>
      <c r="F35" s="46">
        <f>275+117</f>
        <v>392</v>
      </c>
      <c r="G35" s="8">
        <f t="shared" si="1"/>
        <v>3.1230082855321861E-2</v>
      </c>
    </row>
    <row r="36" spans="3:7">
      <c r="C36" s="6" t="s">
        <v>52</v>
      </c>
      <c r="D36" s="1" t="s">
        <v>45</v>
      </c>
      <c r="E36" s="7">
        <v>215561</v>
      </c>
      <c r="F36" s="46">
        <f>21896.21+14987.96+25402.85</f>
        <v>62287.02</v>
      </c>
      <c r="G36" s="8">
        <f t="shared" si="1"/>
        <v>0.28895310376181221</v>
      </c>
    </row>
    <row r="37" spans="3:7">
      <c r="C37" s="6" t="s">
        <v>64</v>
      </c>
      <c r="D37" s="1" t="s">
        <v>62</v>
      </c>
      <c r="E37" s="7">
        <v>144343</v>
      </c>
      <c r="F37" s="46">
        <f>4000+6444.44</f>
        <v>10444.439999999999</v>
      </c>
      <c r="G37" s="8">
        <f t="shared" si="1"/>
        <v>7.23584794551866E-2</v>
      </c>
    </row>
    <row r="38" spans="3:7">
      <c r="C38" s="6" t="s">
        <v>53</v>
      </c>
      <c r="D38" s="1" t="s">
        <v>177</v>
      </c>
      <c r="E38" s="7">
        <v>3873132</v>
      </c>
      <c r="F38" s="46">
        <f>143881.72+236695.57+357565.86</f>
        <v>738143.15</v>
      </c>
      <c r="G38" s="8">
        <f t="shared" si="1"/>
        <v>0.19058042689998689</v>
      </c>
    </row>
    <row r="39" spans="3:7">
      <c r="C39" s="6" t="s">
        <v>111</v>
      </c>
      <c r="D39" s="1" t="s">
        <v>125</v>
      </c>
      <c r="E39" s="7">
        <v>24884</v>
      </c>
      <c r="F39" s="46">
        <f>672.8+174.48+523.46</f>
        <v>1370.74</v>
      </c>
      <c r="G39" s="8">
        <f t="shared" si="1"/>
        <v>5.5085195306220865E-2</v>
      </c>
    </row>
    <row r="40" spans="3:7">
      <c r="C40" s="6" t="s">
        <v>190</v>
      </c>
      <c r="D40" s="59" t="s">
        <v>197</v>
      </c>
      <c r="E40" s="7">
        <v>3068</v>
      </c>
      <c r="F40" s="46"/>
      <c r="G40" s="8">
        <f t="shared" si="1"/>
        <v>0</v>
      </c>
    </row>
    <row r="41" spans="3:7">
      <c r="C41" s="6" t="s">
        <v>191</v>
      </c>
      <c r="D41" s="59" t="s">
        <v>198</v>
      </c>
      <c r="E41" s="7">
        <v>1434</v>
      </c>
      <c r="F41" s="46"/>
      <c r="G41" s="8">
        <f t="shared" si="1"/>
        <v>0</v>
      </c>
    </row>
    <row r="42" spans="3:7">
      <c r="C42" s="6" t="s">
        <v>147</v>
      </c>
      <c r="D42" s="1" t="s">
        <v>148</v>
      </c>
      <c r="E42" s="7">
        <v>90017</v>
      </c>
      <c r="F42" s="46">
        <f>448+1133+912.4</f>
        <v>2493.4</v>
      </c>
      <c r="G42" s="8">
        <v>0</v>
      </c>
    </row>
    <row r="43" spans="3:7">
      <c r="C43" s="6" t="s">
        <v>112</v>
      </c>
      <c r="D43" s="1" t="s">
        <v>142</v>
      </c>
      <c r="E43" s="7">
        <v>397556</v>
      </c>
      <c r="F43" s="46">
        <f>8007.07+7760.67+19865.16</f>
        <v>35632.9</v>
      </c>
      <c r="G43" s="8">
        <f t="shared" si="1"/>
        <v>8.9629888619464929E-2</v>
      </c>
    </row>
    <row r="44" spans="3:7">
      <c r="C44" s="6" t="s">
        <v>113</v>
      </c>
      <c r="D44" s="1" t="s">
        <v>126</v>
      </c>
      <c r="E44" s="7">
        <v>5385</v>
      </c>
      <c r="F44" s="46">
        <f>86+217.5</f>
        <v>303.5</v>
      </c>
      <c r="G44" s="8">
        <f t="shared" si="1"/>
        <v>5.6360259981429899E-2</v>
      </c>
    </row>
    <row r="45" spans="3:7">
      <c r="C45" s="6" t="s">
        <v>149</v>
      </c>
      <c r="D45" s="1" t="s">
        <v>150</v>
      </c>
      <c r="E45" s="7">
        <v>45425</v>
      </c>
      <c r="F45" s="46">
        <f>516.4+1499.08+1557.6</f>
        <v>3573.08</v>
      </c>
      <c r="G45" s="8">
        <f t="shared" si="1"/>
        <v>7.8658888277380296E-2</v>
      </c>
    </row>
    <row r="46" spans="3:7">
      <c r="C46" s="6" t="s">
        <v>151</v>
      </c>
      <c r="D46" s="1" t="s">
        <v>152</v>
      </c>
      <c r="E46" s="7">
        <v>3655</v>
      </c>
      <c r="F46" s="46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367837</v>
      </c>
      <c r="F47" s="46">
        <f>27170.7+3258.5+55142.9</f>
        <v>85572.1</v>
      </c>
      <c r="G47" s="8">
        <f t="shared" si="1"/>
        <v>0.23263592297675331</v>
      </c>
    </row>
    <row r="48" spans="3:7">
      <c r="C48" s="6" t="s">
        <v>115</v>
      </c>
      <c r="D48" s="1" t="s">
        <v>128</v>
      </c>
      <c r="E48" s="7">
        <v>277905</v>
      </c>
      <c r="F48" s="46">
        <f>18825.3+19347.21+19056.6</f>
        <v>57229.109999999993</v>
      </c>
      <c r="G48" s="8">
        <f t="shared" si="1"/>
        <v>0.20593047984023316</v>
      </c>
    </row>
    <row r="49" spans="2:7">
      <c r="C49" s="6" t="s">
        <v>116</v>
      </c>
      <c r="D49" s="1" t="s">
        <v>129</v>
      </c>
      <c r="E49" s="7">
        <v>643773</v>
      </c>
      <c r="F49" s="46">
        <f>75523.58+52105.62+49169.54</f>
        <v>176798.74000000002</v>
      </c>
      <c r="G49" s="8">
        <f t="shared" si="1"/>
        <v>0.27462900742963747</v>
      </c>
    </row>
    <row r="50" spans="2:7">
      <c r="C50" s="6" t="s">
        <v>117</v>
      </c>
      <c r="D50" s="1" t="s">
        <v>130</v>
      </c>
      <c r="E50" s="7">
        <v>61659</v>
      </c>
      <c r="F50" s="46">
        <f>4639.76+4933.15+4819.48</f>
        <v>14392.39</v>
      </c>
      <c r="G50" s="8">
        <f t="shared" si="1"/>
        <v>0.23341912778345414</v>
      </c>
    </row>
    <row r="51" spans="2:7">
      <c r="C51" s="6" t="s">
        <v>118</v>
      </c>
      <c r="D51" s="1" t="s">
        <v>131</v>
      </c>
      <c r="E51" s="7">
        <v>4750</v>
      </c>
      <c r="F51" s="46">
        <f>152+1001.08+207</f>
        <v>1360.08</v>
      </c>
      <c r="G51" s="8">
        <f t="shared" si="1"/>
        <v>0.28633263157894734</v>
      </c>
    </row>
    <row r="52" spans="2:7">
      <c r="C52" s="6" t="s">
        <v>119</v>
      </c>
      <c r="D52" s="1" t="s">
        <v>132</v>
      </c>
      <c r="E52" s="7">
        <v>11168</v>
      </c>
      <c r="F52" s="46">
        <f>400+2000+1228</f>
        <v>3628</v>
      </c>
      <c r="G52" s="8">
        <f t="shared" si="1"/>
        <v>0.32485673352435529</v>
      </c>
    </row>
    <row r="53" spans="2:7">
      <c r="C53" s="6" t="s">
        <v>120</v>
      </c>
      <c r="D53" s="1" t="s">
        <v>133</v>
      </c>
      <c r="E53" s="7">
        <v>6827</v>
      </c>
      <c r="F53" s="46">
        <f>179.48+211.37+359.66</f>
        <v>750.51</v>
      </c>
      <c r="G53" s="8">
        <f t="shared" si="1"/>
        <v>0.10993262047751574</v>
      </c>
    </row>
    <row r="54" spans="2:7">
      <c r="C54" s="6" t="s">
        <v>121</v>
      </c>
      <c r="D54" s="1" t="s">
        <v>134</v>
      </c>
      <c r="E54" s="7">
        <v>231560</v>
      </c>
      <c r="F54" s="46">
        <f>4479.65+7351.99+7255.08</f>
        <v>19086.72</v>
      </c>
      <c r="G54" s="8">
        <f t="shared" si="1"/>
        <v>8.2426671273104171E-2</v>
      </c>
    </row>
    <row r="55" spans="2:7">
      <c r="C55" s="6" t="s">
        <v>176</v>
      </c>
      <c r="D55" s="1" t="s">
        <v>178</v>
      </c>
      <c r="E55" s="7">
        <v>2596</v>
      </c>
      <c r="F55" s="46"/>
      <c r="G55" s="8">
        <f t="shared" si="1"/>
        <v>0</v>
      </c>
    </row>
    <row r="56" spans="2:7">
      <c r="C56" s="6" t="s">
        <v>38</v>
      </c>
      <c r="D56" s="1" t="s">
        <v>30</v>
      </c>
      <c r="E56" s="7">
        <v>1284869</v>
      </c>
      <c r="F56" s="46">
        <f>230474.84+348006.82+163399.58</f>
        <v>741881.24</v>
      </c>
      <c r="G56" s="8">
        <f t="shared" si="1"/>
        <v>0.57739834955937142</v>
      </c>
    </row>
    <row r="57" spans="2:7">
      <c r="C57" s="6" t="s">
        <v>122</v>
      </c>
      <c r="D57" s="1" t="s">
        <v>137</v>
      </c>
      <c r="E57" s="7"/>
      <c r="F57" s="46"/>
      <c r="G57" s="8"/>
    </row>
    <row r="58" spans="2:7">
      <c r="C58" s="6" t="s">
        <v>123</v>
      </c>
      <c r="D58" s="1" t="s">
        <v>138</v>
      </c>
      <c r="E58" s="7">
        <v>34331</v>
      </c>
      <c r="F58" s="46"/>
      <c r="G58" s="8"/>
    </row>
    <row r="59" spans="2:7">
      <c r="C59" s="6" t="s">
        <v>124</v>
      </c>
      <c r="D59" s="1" t="s">
        <v>139</v>
      </c>
      <c r="E59" s="7"/>
      <c r="F59" s="46"/>
      <c r="G59" s="8"/>
    </row>
    <row r="60" spans="2:7">
      <c r="C60" s="6"/>
      <c r="E60" s="7"/>
      <c r="F60" s="46"/>
    </row>
    <row r="61" spans="2:7">
      <c r="B61" s="20" t="s">
        <v>66</v>
      </c>
      <c r="C61" s="17"/>
      <c r="D61" s="17"/>
      <c r="E61" s="18">
        <f>SUM(E62:E71)</f>
        <v>7584980</v>
      </c>
      <c r="F61" s="45">
        <f>SUM(F62:F71)</f>
        <v>1589733.7399999998</v>
      </c>
      <c r="G61" s="19">
        <f t="shared" ref="G61:G70" si="2">+F61/E61</f>
        <v>0.2095897075536125</v>
      </c>
    </row>
    <row r="62" spans="2:7">
      <c r="C62" s="6" t="s">
        <v>67</v>
      </c>
      <c r="D62" s="1" t="s">
        <v>69</v>
      </c>
      <c r="E62" s="7">
        <v>119007</v>
      </c>
      <c r="F62" s="46">
        <v>16624.740000000002</v>
      </c>
      <c r="G62" s="8">
        <f t="shared" si="2"/>
        <v>0.13969548009780938</v>
      </c>
    </row>
    <row r="63" spans="2:7">
      <c r="C63" s="6" t="s">
        <v>140</v>
      </c>
      <c r="D63" s="1" t="s">
        <v>141</v>
      </c>
      <c r="E63" s="7"/>
      <c r="F63" s="46"/>
      <c r="G63" s="8"/>
    </row>
    <row r="64" spans="2:7">
      <c r="C64" s="6" t="s">
        <v>53</v>
      </c>
      <c r="D64" s="1" t="s">
        <v>46</v>
      </c>
      <c r="E64" s="7"/>
      <c r="F64" s="46"/>
      <c r="G64" s="8"/>
    </row>
    <row r="65" spans="2:7">
      <c r="C65" s="6" t="s">
        <v>37</v>
      </c>
      <c r="D65" s="1" t="s">
        <v>29</v>
      </c>
      <c r="E65" s="7">
        <v>5022347</v>
      </c>
      <c r="F65" s="46">
        <f>155762.85+230245.08+327863.79</f>
        <v>713871.72</v>
      </c>
      <c r="G65" s="8">
        <f t="shared" si="2"/>
        <v>0.14213906765104042</v>
      </c>
    </row>
    <row r="66" spans="2:7">
      <c r="C66" s="6" t="s">
        <v>98</v>
      </c>
      <c r="D66" s="1" t="s">
        <v>99</v>
      </c>
      <c r="E66" s="7">
        <f>2000+6893+6665</f>
        <v>15558</v>
      </c>
      <c r="F66" s="46">
        <f>2608+3280</f>
        <v>5888</v>
      </c>
      <c r="G66" s="8">
        <f t="shared" si="2"/>
        <v>0.37845481424347605</v>
      </c>
    </row>
    <row r="67" spans="2:7">
      <c r="C67" s="6" t="s">
        <v>180</v>
      </c>
      <c r="D67" s="1" t="s">
        <v>181</v>
      </c>
      <c r="E67" s="7">
        <v>1153290</v>
      </c>
      <c r="F67" s="46">
        <f>85247.22+88846.68+89299.77</f>
        <v>263393.67</v>
      </c>
      <c r="G67" s="8">
        <f t="shared" si="2"/>
        <v>0.22838459537497072</v>
      </c>
    </row>
    <row r="68" spans="2:7">
      <c r="C68" s="6" t="s">
        <v>192</v>
      </c>
      <c r="D68" s="43"/>
      <c r="E68" s="7">
        <v>4025</v>
      </c>
      <c r="F68" s="46"/>
      <c r="G68" s="8"/>
    </row>
    <row r="69" spans="2:7">
      <c r="C69" s="6" t="s">
        <v>176</v>
      </c>
      <c r="D69" s="1" t="s">
        <v>178</v>
      </c>
      <c r="E69" s="7">
        <v>6320</v>
      </c>
      <c r="F69" s="46"/>
      <c r="G69" s="8"/>
    </row>
    <row r="70" spans="2:7">
      <c r="C70" s="6" t="s">
        <v>38</v>
      </c>
      <c r="D70" s="1" t="s">
        <v>30</v>
      </c>
      <c r="E70" s="7">
        <v>1264433</v>
      </c>
      <c r="F70" s="46">
        <f>216265.5+137825.13+235864.98</f>
        <v>589955.61</v>
      </c>
      <c r="G70" s="8">
        <f t="shared" si="2"/>
        <v>0.46657720100630085</v>
      </c>
    </row>
    <row r="71" spans="2:7">
      <c r="C71" s="6" t="s">
        <v>68</v>
      </c>
      <c r="D71" s="1" t="s">
        <v>70</v>
      </c>
      <c r="E71" s="7"/>
      <c r="F71" s="46"/>
      <c r="G71" s="8"/>
    </row>
    <row r="72" spans="2:7">
      <c r="C72" s="6"/>
      <c r="E72" s="7"/>
      <c r="F72" s="46"/>
    </row>
    <row r="73" spans="2:7">
      <c r="B73" s="20" t="s">
        <v>71</v>
      </c>
      <c r="C73" s="17"/>
      <c r="D73" s="17"/>
      <c r="E73" s="18">
        <f>SUM(E74:E95)</f>
        <v>10036045</v>
      </c>
      <c r="F73" s="45">
        <f>SUM(F74:F95)</f>
        <v>767186.43</v>
      </c>
      <c r="G73" s="19">
        <f t="shared" ref="G73:G90" si="3">+F73/E73</f>
        <v>7.6443103832236708E-2</v>
      </c>
    </row>
    <row r="74" spans="2:7">
      <c r="B74" s="33"/>
      <c r="C74" s="6" t="s">
        <v>34</v>
      </c>
      <c r="D74" s="1" t="s">
        <v>26</v>
      </c>
      <c r="E74" s="29">
        <v>582087</v>
      </c>
      <c r="F74" s="47">
        <v>36960.160000000003</v>
      </c>
      <c r="G74" s="26"/>
    </row>
    <row r="75" spans="2:7">
      <c r="B75" s="33"/>
      <c r="C75" s="6" t="s">
        <v>35</v>
      </c>
      <c r="D75" s="1" t="s">
        <v>27</v>
      </c>
      <c r="E75" s="25">
        <v>84945</v>
      </c>
      <c r="F75" s="47">
        <v>2981.7</v>
      </c>
      <c r="G75" s="26"/>
    </row>
    <row r="76" spans="2:7">
      <c r="B76" s="33"/>
      <c r="C76" s="6" t="s">
        <v>36</v>
      </c>
      <c r="D76" s="1" t="s">
        <v>28</v>
      </c>
      <c r="E76" s="29">
        <v>370212</v>
      </c>
      <c r="F76" s="47">
        <f>27634+27074.55+19302.84</f>
        <v>74011.39</v>
      </c>
      <c r="G76" s="26"/>
    </row>
    <row r="77" spans="2:7">
      <c r="B77" s="33"/>
      <c r="C77" s="30" t="s">
        <v>47</v>
      </c>
      <c r="D77" s="24" t="s">
        <v>40</v>
      </c>
      <c r="E77" s="29"/>
      <c r="F77" s="48"/>
      <c r="G77" s="31"/>
    </row>
    <row r="78" spans="2:7">
      <c r="B78" s="33"/>
      <c r="C78" s="30" t="s">
        <v>182</v>
      </c>
      <c r="D78" s="24" t="s">
        <v>183</v>
      </c>
      <c r="E78" s="29">
        <v>3183</v>
      </c>
      <c r="F78" s="48">
        <v>3182</v>
      </c>
      <c r="G78" s="31"/>
    </row>
    <row r="79" spans="2:7">
      <c r="B79" s="33"/>
      <c r="C79" s="6" t="s">
        <v>49</v>
      </c>
      <c r="D79" s="1" t="s">
        <v>42</v>
      </c>
      <c r="E79" s="29"/>
      <c r="F79" s="48"/>
      <c r="G79" s="8"/>
    </row>
    <row r="80" spans="2:7">
      <c r="B80" s="33"/>
      <c r="C80" s="6" t="s">
        <v>50</v>
      </c>
      <c r="D80" s="1" t="s">
        <v>43</v>
      </c>
      <c r="E80" s="29"/>
      <c r="F80" s="48"/>
      <c r="G80" s="8"/>
    </row>
    <row r="81" spans="2:7">
      <c r="B81" s="33"/>
      <c r="C81" s="6" t="s">
        <v>184</v>
      </c>
      <c r="D81" s="1" t="s">
        <v>185</v>
      </c>
      <c r="E81" s="29">
        <v>1155769</v>
      </c>
      <c r="F81" s="48">
        <v>136800.26999999999</v>
      </c>
      <c r="G81" s="8"/>
    </row>
    <row r="82" spans="2:7">
      <c r="B82" s="33"/>
      <c r="C82" s="6" t="s">
        <v>51</v>
      </c>
      <c r="D82" s="1" t="s">
        <v>44</v>
      </c>
      <c r="E82" s="29">
        <v>19910</v>
      </c>
      <c r="F82" s="48"/>
      <c r="G82" s="8">
        <f t="shared" si="3"/>
        <v>0</v>
      </c>
    </row>
    <row r="83" spans="2:7">
      <c r="B83" s="33"/>
      <c r="C83" s="6" t="s">
        <v>52</v>
      </c>
      <c r="D83" s="1" t="s">
        <v>45</v>
      </c>
      <c r="E83" s="29"/>
      <c r="F83" s="48"/>
      <c r="G83" s="8"/>
    </row>
    <row r="84" spans="2:7">
      <c r="B84" s="33"/>
      <c r="C84" s="6" t="s">
        <v>64</v>
      </c>
      <c r="D84" s="1" t="s">
        <v>62</v>
      </c>
      <c r="E84" s="29">
        <v>332205</v>
      </c>
      <c r="F84" s="48">
        <f>20000+7800</f>
        <v>27800</v>
      </c>
      <c r="G84" s="8">
        <f t="shared" si="3"/>
        <v>8.3683267861711888E-2</v>
      </c>
    </row>
    <row r="85" spans="2:7">
      <c r="B85" s="33"/>
      <c r="C85" s="6" t="s">
        <v>53</v>
      </c>
      <c r="D85" s="1" t="s">
        <v>46</v>
      </c>
      <c r="E85" s="29">
        <v>422656</v>
      </c>
      <c r="F85" s="48">
        <v>48916</v>
      </c>
      <c r="G85" s="8">
        <f t="shared" si="3"/>
        <v>0.11573478195033313</v>
      </c>
    </row>
    <row r="86" spans="2:7">
      <c r="B86" s="33"/>
      <c r="C86" s="6" t="s">
        <v>37</v>
      </c>
      <c r="D86" s="1" t="s">
        <v>29</v>
      </c>
      <c r="E86" s="29"/>
      <c r="F86" s="48"/>
      <c r="G86" s="8"/>
    </row>
    <row r="87" spans="2:7">
      <c r="B87" s="33"/>
      <c r="C87" s="6" t="s">
        <v>112</v>
      </c>
      <c r="D87" s="1" t="s">
        <v>142</v>
      </c>
      <c r="E87" s="29"/>
      <c r="F87" s="48"/>
      <c r="G87" s="8"/>
    </row>
    <row r="88" spans="2:7">
      <c r="B88" s="33"/>
      <c r="C88" s="6" t="s">
        <v>162</v>
      </c>
      <c r="D88" s="1" t="s">
        <v>163</v>
      </c>
      <c r="E88" s="29">
        <v>5468487</v>
      </c>
      <c r="F88" s="48">
        <f>186470.96+238607.45</f>
        <v>425078.41000000003</v>
      </c>
      <c r="G88" s="8">
        <f t="shared" si="3"/>
        <v>7.7732361803182493E-2</v>
      </c>
    </row>
    <row r="89" spans="2:7">
      <c r="B89" s="33"/>
      <c r="C89" s="6" t="s">
        <v>73</v>
      </c>
      <c r="D89" s="1" t="s">
        <v>72</v>
      </c>
      <c r="E89" s="29">
        <v>1301115</v>
      </c>
      <c r="F89" s="48"/>
      <c r="G89" s="8">
        <f t="shared" si="3"/>
        <v>0</v>
      </c>
    </row>
    <row r="90" spans="2:7">
      <c r="B90" s="33"/>
      <c r="C90" s="6" t="s">
        <v>113</v>
      </c>
      <c r="D90" s="1" t="s">
        <v>126</v>
      </c>
      <c r="E90" s="29">
        <v>259619</v>
      </c>
      <c r="F90" s="48"/>
      <c r="G90" s="8">
        <f t="shared" si="3"/>
        <v>0</v>
      </c>
    </row>
    <row r="91" spans="2:7">
      <c r="C91" s="6" t="s">
        <v>149</v>
      </c>
      <c r="D91" s="1" t="s">
        <v>150</v>
      </c>
      <c r="E91" s="7">
        <v>29257</v>
      </c>
      <c r="F91" s="46">
        <v>4856.5</v>
      </c>
    </row>
    <row r="92" spans="2:7" hidden="1">
      <c r="C92" s="6" t="s">
        <v>104</v>
      </c>
      <c r="D92" s="1" t="s">
        <v>105</v>
      </c>
      <c r="E92" s="7">
        <f>+'RESULTADOS OPERATIVOS en soles'!D124/1000</f>
        <v>0</v>
      </c>
      <c r="F92" s="46">
        <f>+'RESULTADOS OPERATIVOS en soles'!E124/1000</f>
        <v>0</v>
      </c>
      <c r="G92" s="8">
        <v>0</v>
      </c>
    </row>
    <row r="93" spans="2:7" hidden="1">
      <c r="C93" s="6" t="s">
        <v>75</v>
      </c>
      <c r="D93" s="1" t="s">
        <v>74</v>
      </c>
      <c r="E93" s="7">
        <f>+'RESULTADOS OPERATIVOS en soles'!D125/1000</f>
        <v>0</v>
      </c>
      <c r="F93" s="46">
        <f>+'RESULTADOS OPERATIVOS en soles'!E125/1000</f>
        <v>0</v>
      </c>
      <c r="G93" s="8">
        <v>1</v>
      </c>
    </row>
    <row r="94" spans="2:7" hidden="1">
      <c r="C94" s="6" t="s">
        <v>38</v>
      </c>
      <c r="D94" s="1" t="s">
        <v>30</v>
      </c>
      <c r="E94" s="7">
        <f>+'RESULTADOS OPERATIVOS en soles'!D126/1000</f>
        <v>0</v>
      </c>
      <c r="F94" s="46">
        <f>+'RESULTADOS OPERATIVOS en soles'!E126/1000</f>
        <v>0</v>
      </c>
      <c r="G94" s="8">
        <v>1</v>
      </c>
    </row>
    <row r="95" spans="2:7">
      <c r="C95" s="6" t="s">
        <v>187</v>
      </c>
      <c r="D95" s="1" t="s">
        <v>30</v>
      </c>
      <c r="E95" s="7">
        <v>6600</v>
      </c>
      <c r="F95" s="46">
        <v>6600</v>
      </c>
      <c r="G95" s="8"/>
    </row>
    <row r="96" spans="2:7">
      <c r="C96" s="6"/>
      <c r="E96" s="7"/>
      <c r="F96" s="46"/>
    </row>
    <row r="97" spans="2:7">
      <c r="B97" s="20" t="s">
        <v>76</v>
      </c>
      <c r="C97" s="21"/>
      <c r="D97" s="17"/>
      <c r="E97" s="18">
        <f>SUM(E99:E101)</f>
        <v>2208279</v>
      </c>
      <c r="F97" s="45">
        <f>SUM(F99:F101)</f>
        <v>483822.06999999995</v>
      </c>
      <c r="G97" s="19">
        <f>+F97/E97</f>
        <v>0.21909462979994826</v>
      </c>
    </row>
    <row r="98" spans="2:7" hidden="1">
      <c r="C98" s="6" t="s">
        <v>37</v>
      </c>
      <c r="D98" s="1" t="s">
        <v>29</v>
      </c>
      <c r="E98" s="7">
        <f>+'RESULTADOS OPERATIVOS en soles'!D129/1000</f>
        <v>0</v>
      </c>
      <c r="F98" s="46">
        <f>+'RESULTADOS OPERATIVOS en soles'!E129/1000</f>
        <v>0</v>
      </c>
      <c r="G98" s="8">
        <v>0</v>
      </c>
    </row>
    <row r="99" spans="2:7">
      <c r="C99" s="6" t="s">
        <v>73</v>
      </c>
      <c r="D99" s="1" t="s">
        <v>72</v>
      </c>
      <c r="E99" s="7">
        <v>1235035</v>
      </c>
      <c r="F99" s="46">
        <v>417409.41</v>
      </c>
      <c r="G99" s="8">
        <f>+F99/E99</f>
        <v>0.33797374973178895</v>
      </c>
    </row>
    <row r="100" spans="2:7">
      <c r="C100" s="6" t="s">
        <v>186</v>
      </c>
      <c r="D100" s="1" t="s">
        <v>188</v>
      </c>
      <c r="E100" s="7">
        <v>702694</v>
      </c>
      <c r="F100" s="46"/>
      <c r="G100" s="8"/>
    </row>
    <row r="101" spans="2:7">
      <c r="C101" s="6" t="s">
        <v>187</v>
      </c>
      <c r="D101" s="1" t="s">
        <v>30</v>
      </c>
      <c r="E101" s="7">
        <v>270550</v>
      </c>
      <c r="F101" s="46">
        <f>39636.16+9726.5+17050</f>
        <v>66412.66</v>
      </c>
    </row>
    <row r="102" spans="2:7">
      <c r="B102" s="18" t="s">
        <v>79</v>
      </c>
      <c r="C102" s="17"/>
      <c r="D102" s="17"/>
      <c r="E102" s="18">
        <f>SUM(E103:E106)</f>
        <v>5542</v>
      </c>
      <c r="F102" s="45">
        <f>SUM(F103:F106)</f>
        <v>4157.8099999999995</v>
      </c>
      <c r="G102" s="19">
        <f>+F102/E102</f>
        <v>0.75023637675929256</v>
      </c>
    </row>
    <row r="103" spans="2:7">
      <c r="C103" s="6" t="s">
        <v>38</v>
      </c>
      <c r="D103" s="1" t="s">
        <v>30</v>
      </c>
      <c r="E103" s="7"/>
      <c r="F103" s="46"/>
      <c r="G103" s="8"/>
    </row>
    <row r="104" spans="2:7">
      <c r="C104" s="6" t="s">
        <v>92</v>
      </c>
      <c r="D104" s="1" t="s">
        <v>81</v>
      </c>
      <c r="E104" s="7">
        <v>5542</v>
      </c>
      <c r="F104" s="46">
        <f>1679+1345.52+1133.29</f>
        <v>4157.8099999999995</v>
      </c>
      <c r="G104" s="8">
        <f>+F104/E104</f>
        <v>0.75023637675929256</v>
      </c>
    </row>
    <row r="105" spans="2:7">
      <c r="C105" s="6" t="s">
        <v>83</v>
      </c>
      <c r="D105" s="1" t="s">
        <v>82</v>
      </c>
      <c r="E105" s="7"/>
      <c r="F105" s="46"/>
      <c r="G105" s="8"/>
    </row>
    <row r="106" spans="2:7">
      <c r="C106" s="6" t="s">
        <v>84</v>
      </c>
      <c r="D106" s="1" t="s">
        <v>93</v>
      </c>
      <c r="E106" s="7"/>
      <c r="F106" s="46"/>
      <c r="G106" s="8"/>
    </row>
    <row r="107" spans="2:7">
      <c r="C107" s="6"/>
      <c r="E107" s="7"/>
      <c r="F107" s="46"/>
    </row>
    <row r="108" spans="2:7">
      <c r="B108" s="18" t="s">
        <v>143</v>
      </c>
      <c r="C108" s="17"/>
      <c r="D108" s="17"/>
      <c r="E108" s="18">
        <f>SUM(E109:E112)</f>
        <v>111718</v>
      </c>
      <c r="F108" s="45">
        <f>SUM(F109:F112)</f>
        <v>66723.299999999988</v>
      </c>
      <c r="G108" s="19">
        <f>+F108/E108</f>
        <v>0.59724753396945873</v>
      </c>
    </row>
    <row r="109" spans="2:7">
      <c r="C109" s="6" t="s">
        <v>38</v>
      </c>
      <c r="D109" s="1" t="s">
        <v>30</v>
      </c>
      <c r="E109" s="7"/>
      <c r="F109" s="46"/>
      <c r="G109" s="8"/>
    </row>
    <row r="110" spans="2:7">
      <c r="C110" s="6" t="s">
        <v>85</v>
      </c>
      <c r="D110" s="1" t="s">
        <v>88</v>
      </c>
      <c r="E110" s="7">
        <v>111718</v>
      </c>
      <c r="F110" s="46">
        <f>22241.1+22241.1+22241.1</f>
        <v>66723.299999999988</v>
      </c>
      <c r="G110" s="8">
        <f>+F110/E110</f>
        <v>0.59724753396945873</v>
      </c>
    </row>
    <row r="111" spans="2:7">
      <c r="C111" s="6" t="s">
        <v>86</v>
      </c>
      <c r="D111" s="1" t="s">
        <v>89</v>
      </c>
      <c r="E111" s="7"/>
      <c r="F111" s="46"/>
      <c r="G111" s="8"/>
    </row>
    <row r="112" spans="2:7">
      <c r="C112" s="6" t="s">
        <v>87</v>
      </c>
      <c r="D112" s="1" t="s">
        <v>90</v>
      </c>
      <c r="E112" s="7"/>
      <c r="F112" s="46"/>
      <c r="G112" s="8"/>
    </row>
    <row r="113" spans="2:7">
      <c r="C113" s="3"/>
      <c r="F113" s="46"/>
    </row>
    <row r="114" spans="2:7">
      <c r="B114" s="53" t="s">
        <v>96</v>
      </c>
      <c r="C114" s="53"/>
      <c r="D114" s="53"/>
      <c r="E114" s="18">
        <f>+E12+E24+E27+E61+E73+E97+E102+E108</f>
        <v>60718742</v>
      </c>
      <c r="F114" s="45">
        <f>+F12+F24+F27+F61+F73+F97+F102+F108</f>
        <v>12544777.91</v>
      </c>
      <c r="G114" s="19">
        <f>+F114/E114</f>
        <v>0.20660470715944676</v>
      </c>
    </row>
    <row r="115" spans="2:7">
      <c r="C115" s="3"/>
      <c r="E115" s="27"/>
      <c r="F115" s="49"/>
      <c r="G115" s="28"/>
    </row>
    <row r="116" spans="2:7">
      <c r="C116" s="3"/>
      <c r="E116" s="29"/>
      <c r="F116" s="29"/>
      <c r="G116" s="24"/>
    </row>
    <row r="117" spans="2:7">
      <c r="C117" s="3"/>
      <c r="E117" s="7"/>
    </row>
    <row r="118" spans="2:7">
      <c r="C118" s="3"/>
      <c r="E118" s="7"/>
    </row>
    <row r="119" spans="2:7">
      <c r="C119" s="3"/>
    </row>
    <row r="120" spans="2:7">
      <c r="C120" s="3"/>
    </row>
    <row r="121" spans="2:7">
      <c r="C121" s="3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</sheetData>
  <mergeCells count="8">
    <mergeCell ref="F6:F8"/>
    <mergeCell ref="G6:G8"/>
    <mergeCell ref="B114:D114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58" t="s">
        <v>153</v>
      </c>
      <c r="C6" s="58"/>
      <c r="D6" s="58"/>
      <c r="E6" s="58"/>
      <c r="F6" s="58"/>
    </row>
    <row r="7" spans="2:6" ht="12.75" customHeight="1">
      <c r="B7" s="54" t="s">
        <v>168</v>
      </c>
      <c r="C7" s="54"/>
      <c r="D7" s="54"/>
      <c r="E7" s="54"/>
      <c r="F7" s="54"/>
    </row>
    <row r="8" spans="2:6" ht="12.75" customHeight="1">
      <c r="B8" s="54" t="s">
        <v>0</v>
      </c>
      <c r="C8" s="54"/>
      <c r="D8" s="54"/>
      <c r="E8" s="54"/>
      <c r="F8" s="54"/>
    </row>
    <row r="10" spans="2:6">
      <c r="B10" s="2" t="s">
        <v>2</v>
      </c>
      <c r="D10" s="7"/>
    </row>
    <row r="11" spans="2:6" ht="12.75" customHeight="1">
      <c r="B11" s="50" t="s">
        <v>103</v>
      </c>
      <c r="C11" s="50"/>
      <c r="D11" s="50" t="s">
        <v>107</v>
      </c>
      <c r="E11" s="50" t="s">
        <v>169</v>
      </c>
      <c r="F11" s="50" t="s">
        <v>3</v>
      </c>
    </row>
    <row r="12" spans="2:6" ht="11.25" customHeight="1">
      <c r="B12" s="55"/>
      <c r="C12" s="55"/>
      <c r="D12" s="51"/>
      <c r="E12" s="51"/>
      <c r="F12" s="51"/>
    </row>
    <row r="13" spans="2:6" ht="11.25" customHeight="1">
      <c r="B13" s="56"/>
      <c r="C13" s="56"/>
      <c r="D13" s="52"/>
      <c r="E13" s="52"/>
      <c r="F13" s="52"/>
    </row>
    <row r="14" spans="2:6" ht="9" customHeight="1">
      <c r="B14" s="3"/>
    </row>
    <row r="15" spans="2:6" ht="18" customHeight="1">
      <c r="B15" s="57" t="s">
        <v>154</v>
      </c>
      <c r="C15" s="57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7" t="s">
        <v>102</v>
      </c>
      <c r="C23" s="57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58" t="s">
        <v>153</v>
      </c>
      <c r="C38" s="58"/>
      <c r="D38" s="58"/>
      <c r="E38" s="58"/>
      <c r="F38" s="58"/>
    </row>
    <row r="39" spans="2:7" ht="12.75" customHeight="1">
      <c r="B39" s="54" t="s">
        <v>168</v>
      </c>
      <c r="C39" s="54"/>
      <c r="D39" s="54"/>
      <c r="E39" s="54"/>
      <c r="F39" s="54"/>
    </row>
    <row r="40" spans="2:7" ht="12.75" customHeight="1">
      <c r="B40" s="54" t="s">
        <v>0</v>
      </c>
      <c r="C40" s="54"/>
      <c r="D40" s="54"/>
      <c r="E40" s="54"/>
      <c r="F40" s="54"/>
    </row>
    <row r="42" spans="2:7">
      <c r="B42" s="2" t="s">
        <v>2</v>
      </c>
    </row>
    <row r="43" spans="2:7" ht="11.25" customHeight="1">
      <c r="B43" s="50"/>
      <c r="C43" s="50"/>
      <c r="D43" s="50" t="s">
        <v>95</v>
      </c>
      <c r="E43" s="50" t="s">
        <v>169</v>
      </c>
      <c r="F43" s="50" t="s">
        <v>3</v>
      </c>
    </row>
    <row r="44" spans="2:7" ht="11.25" customHeight="1">
      <c r="B44" s="55"/>
      <c r="C44" s="55"/>
      <c r="D44" s="51"/>
      <c r="E44" s="51"/>
      <c r="F44" s="51"/>
    </row>
    <row r="45" spans="2:7" ht="11.25" customHeight="1">
      <c r="B45" s="56"/>
      <c r="C45" s="56"/>
      <c r="D45" s="52"/>
      <c r="E45" s="52"/>
      <c r="F45" s="52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53" t="s">
        <v>96</v>
      </c>
      <c r="C144" s="53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 TRIM 05</vt:lpstr>
      <vt:lpstr>RESULTADOS OPERATIVOS en soles</vt:lpstr>
      <vt:lpstr>'RESULTADOS OPERATIVOS en soles'!Área_de_impresión</vt:lpstr>
      <vt:lpstr>'RESULT OPERAT I TRIM 05'!Títulos_a_imprimir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2009-03-02T20:08:24Z</dcterms:modified>
</cp:coreProperties>
</file>