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Hoja1" sheetId="7" r:id="rId2"/>
  </sheets>
  <externalReferences>
    <externalReference r:id="rId3"/>
  </externalReferences>
  <definedNames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G81" i="7"/>
  <c r="G78"/>
  <c r="G75"/>
  <c r="G76"/>
  <c r="G74"/>
  <c r="G13"/>
  <c r="F110"/>
  <c r="F104"/>
  <c r="F101"/>
  <c r="F99"/>
  <c r="F89"/>
  <c r="F88"/>
  <c r="F85"/>
  <c r="F84"/>
  <c r="F81"/>
  <c r="F76"/>
  <c r="F75"/>
  <c r="F74"/>
  <c r="F66"/>
  <c r="F70"/>
  <c r="F67"/>
  <c r="F65"/>
  <c r="F62"/>
  <c r="F58"/>
  <c r="F56"/>
  <c r="F54"/>
  <c r="F53"/>
  <c r="F52"/>
  <c r="F50"/>
  <c r="F49"/>
  <c r="F48"/>
  <c r="F47"/>
  <c r="F45"/>
  <c r="F44"/>
  <c r="F43"/>
  <c r="F42"/>
  <c r="F39"/>
  <c r="F38"/>
  <c r="F37"/>
  <c r="F36"/>
  <c r="F35"/>
  <c r="F34"/>
  <c r="F33"/>
  <c r="F32"/>
  <c r="F31"/>
  <c r="F30"/>
  <c r="F29"/>
  <c r="F28"/>
  <c r="F25"/>
  <c r="F21"/>
  <c r="F18"/>
  <c r="F17"/>
  <c r="F16"/>
  <c r="F15"/>
  <c r="F14"/>
  <c r="F13"/>
  <c r="G110"/>
  <c r="F108"/>
  <c r="E108"/>
  <c r="G104"/>
  <c r="F102"/>
  <c r="G102" s="1"/>
  <c r="E102"/>
  <c r="G99"/>
  <c r="F98"/>
  <c r="E98"/>
  <c r="F97"/>
  <c r="G97" s="1"/>
  <c r="E97"/>
  <c r="F94"/>
  <c r="E94"/>
  <c r="F93"/>
  <c r="E93"/>
  <c r="F92"/>
  <c r="E92"/>
  <c r="G90"/>
  <c r="G89"/>
  <c r="G88"/>
  <c r="G85"/>
  <c r="G84"/>
  <c r="G82"/>
  <c r="F73"/>
  <c r="G73" s="1"/>
  <c r="E73"/>
  <c r="G70"/>
  <c r="G67"/>
  <c r="E66"/>
  <c r="G65"/>
  <c r="G62"/>
  <c r="E61"/>
  <c r="G56"/>
  <c r="G55"/>
  <c r="G54"/>
  <c r="G53"/>
  <c r="G52"/>
  <c r="G51"/>
  <c r="F51"/>
  <c r="G50"/>
  <c r="G49"/>
  <c r="G48"/>
  <c r="G47"/>
  <c r="G46"/>
  <c r="G45"/>
  <c r="G44"/>
  <c r="G43"/>
  <c r="G41"/>
  <c r="G40"/>
  <c r="G39"/>
  <c r="G38"/>
  <c r="G37"/>
  <c r="G36"/>
  <c r="G35"/>
  <c r="G34"/>
  <c r="G33"/>
  <c r="G32"/>
  <c r="G31"/>
  <c r="G30"/>
  <c r="G29"/>
  <c r="G28"/>
  <c r="F27"/>
  <c r="G27" s="1"/>
  <c r="E27"/>
  <c r="G25"/>
  <c r="F24"/>
  <c r="E24"/>
  <c r="G24" s="1"/>
  <c r="G21"/>
  <c r="G20"/>
  <c r="G19"/>
  <c r="G18"/>
  <c r="G17"/>
  <c r="G16"/>
  <c r="G14"/>
  <c r="F12"/>
  <c r="E12"/>
  <c r="E114" s="1"/>
  <c r="F10"/>
  <c r="G108" l="1"/>
  <c r="G66"/>
  <c r="G12"/>
  <c r="F61"/>
  <c r="G61" s="1"/>
  <c r="F114" l="1"/>
  <c r="G114" s="1"/>
  <c r="D15" i="4" l="1"/>
  <c r="E15"/>
  <c r="F15" s="1"/>
  <c r="F16"/>
  <c r="F17"/>
  <c r="F18"/>
  <c r="F19"/>
  <c r="F20"/>
  <c r="D24"/>
  <c r="E24"/>
  <c r="D49"/>
  <c r="D25" s="1"/>
  <c r="E49"/>
  <c r="E25"/>
  <c r="F50"/>
  <c r="F51"/>
  <c r="F52"/>
  <c r="F53"/>
  <c r="F54"/>
  <c r="F55"/>
  <c r="F56"/>
  <c r="F57"/>
  <c r="F58"/>
  <c r="D60"/>
  <c r="D26"/>
  <c r="E60"/>
  <c r="E26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E102"/>
  <c r="E98" s="1"/>
  <c r="F103"/>
  <c r="F104"/>
  <c r="F105"/>
  <c r="F106"/>
  <c r="F109"/>
  <c r="F110"/>
  <c r="F111"/>
  <c r="F112"/>
  <c r="F113"/>
  <c r="F114"/>
  <c r="F115"/>
  <c r="D116"/>
  <c r="D108"/>
  <c r="E116"/>
  <c r="F117"/>
  <c r="F118"/>
  <c r="F119"/>
  <c r="F120"/>
  <c r="D122"/>
  <c r="D30"/>
  <c r="E122"/>
  <c r="E30"/>
  <c r="F122"/>
  <c r="F123"/>
  <c r="D128"/>
  <c r="D31"/>
  <c r="E128"/>
  <c r="E31"/>
  <c r="F128"/>
  <c r="F130"/>
  <c r="D132"/>
  <c r="D32"/>
  <c r="E132"/>
  <c r="E32"/>
  <c r="F133"/>
  <c r="F134"/>
  <c r="F135"/>
  <c r="F136"/>
  <c r="D138"/>
  <c r="D33" s="1"/>
  <c r="E138"/>
  <c r="E33" s="1"/>
  <c r="F33" s="1"/>
  <c r="F139"/>
  <c r="F140"/>
  <c r="F141"/>
  <c r="F142"/>
  <c r="D29"/>
  <c r="F32"/>
  <c r="F31"/>
  <c r="F30"/>
  <c r="F26"/>
  <c r="F132"/>
  <c r="F138"/>
  <c r="E108"/>
  <c r="F102"/>
  <c r="D98"/>
  <c r="D28"/>
  <c r="F75"/>
  <c r="E66"/>
  <c r="F60"/>
  <c r="F49"/>
  <c r="E27"/>
  <c r="F108"/>
  <c r="E29"/>
  <c r="F29"/>
  <c r="F66" l="1"/>
  <c r="D27"/>
  <c r="F27" s="1"/>
  <c r="D144"/>
  <c r="D23"/>
  <c r="F25"/>
  <c r="E28"/>
  <c r="F98"/>
  <c r="E144"/>
  <c r="F144" s="1"/>
  <c r="F28" l="1"/>
  <c r="E23"/>
  <c r="F23" s="1"/>
</calcChain>
</file>

<file path=xl/sharedStrings.xml><?xml version="1.0" encoding="utf-8"?>
<sst xmlns="http://schemas.openxmlformats.org/spreadsheetml/2006/main" count="403" uniqueCount="199">
  <si>
    <t>(En Nuevos Soles)</t>
  </si>
  <si>
    <t>1.00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</si>
  <si>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</si>
  <si>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</si>
  <si>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</si>
  <si>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</si>
  <si>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</si>
  <si>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</si>
  <si>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</si>
  <si>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</si>
  <si>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</si>
  <si>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</si>
  <si>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</si>
  <si>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</si>
  <si>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</si>
  <si>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</si>
  <si>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</si>
  <si>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</si>
  <si>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</si>
  <si>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</si>
  <si>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</si>
  <si>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</si>
  <si>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</si>
  <si>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</si>
  <si>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</si>
  <si>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</si>
  <si>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</si>
  <si>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</si>
  <si>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</si>
  <si>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</si>
  <si>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</si>
  <si>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</si>
  <si>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</si>
  <si>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</si>
  <si>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</si>
  <si>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</si>
  <si>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</si>
  <si>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</si>
  <si>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</si>
  <si>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</si>
  <si>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</si>
  <si>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</si>
  <si>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</si>
  <si>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</si>
  <si>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</si>
  <si>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</si>
  <si>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</si>
  <si>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</si>
  <si>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</si>
  <si>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</si>
  <si>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</si>
  <si>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</si>
  <si>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</si>
  <si>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</si>
  <si>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</si>
  <si>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</si>
  <si>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</si>
  <si>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</si>
  <si>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</si>
  <si>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</si>
  <si>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</si>
  <si>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</si>
  <si>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</si>
  <si>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</si>
  <si>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</si>
  <si>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</si>
  <si>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</si>
  <si>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</si>
  <si>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72.</t>
  </si>
  <si>
    <t>Otros Beneficios</t>
  </si>
  <si>
    <t>Indemnizaciones y Compensaciones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</si>
  <si>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</si>
  <si>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</si>
  <si>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</si>
  <si>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</si>
  <si>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</si>
  <si>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</si>
  <si>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</si>
  <si>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</si>
  <si>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</si>
  <si>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</si>
  <si>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</si>
  <si>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</si>
  <si>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</si>
  <si>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</si>
  <si>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</si>
  <si>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</si>
  <si>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</si>
  <si>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</si>
  <si>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</si>
  <si>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</si>
  <si>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</si>
  <si>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</si>
  <si>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</si>
  <si>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RESULTADOS OPERATIVOS SEGÚN CLASIFICADORES PRESUPUESTALES</t>
  </si>
  <si>
    <t>PRESUPUESTO AUTORIZADO        PIM</t>
  </si>
  <si>
    <t>TOTALES</t>
  </si>
  <si>
    <t>(En Miles de Nuevos Soles)</t>
  </si>
  <si>
    <t>42.</t>
  </si>
  <si>
    <t>Cuotas</t>
  </si>
  <si>
    <t>Intereses y Cargos de la Deuda</t>
  </si>
  <si>
    <t>Amortización de la Deuda</t>
  </si>
  <si>
    <t>GASTOS POR GRUPO GENERICO</t>
  </si>
  <si>
    <t>CONCEPTO</t>
  </si>
  <si>
    <t>63.</t>
  </si>
  <si>
    <t>Constitución o Aumento de Capital de Empresas</t>
  </si>
  <si>
    <t>PRESUPUESTO AUTORIZADO PIM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</si>
  <si>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</si>
  <si>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</si>
  <si>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</si>
  <si>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</si>
  <si>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</si>
  <si>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</si>
  <si>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</si>
  <si>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</si>
  <si>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</si>
  <si>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</si>
  <si>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</si>
  <si>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</si>
  <si>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</si>
  <si>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</si>
  <si>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</si>
  <si>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</si>
  <si>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</si>
  <si>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</si>
  <si>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</si>
  <si>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</si>
  <si>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</si>
  <si>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</si>
  <si>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</si>
  <si>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</si>
  <si>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</si>
  <si>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</si>
  <si>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</si>
  <si>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</si>
  <si>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</si>
  <si>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</si>
  <si>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</si>
  <si>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</si>
  <si>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</si>
  <si>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</si>
  <si>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</si>
  <si>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</si>
  <si>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</si>
  <si>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</si>
  <si>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</si>
  <si>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</si>
  <si>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</si>
  <si>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</si>
  <si>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</si>
  <si>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</si>
  <si>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</si>
  <si>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</si>
  <si>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</si>
  <si>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</si>
  <si>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</si>
  <si>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</si>
  <si>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</si>
  <si>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</si>
  <si>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</si>
  <si>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</si>
  <si>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</si>
  <si>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</si>
  <si>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</si>
  <si>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</si>
  <si>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</si>
  <si>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</si>
  <si>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</si>
  <si>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</si>
  <si>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</si>
  <si>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AL II TRIMESTRE 2005</t>
  </si>
  <si>
    <t>05.</t>
  </si>
  <si>
    <t>Retribuciones y Complementos - Ley de Universitaria</t>
  </si>
  <si>
    <t>09</t>
  </si>
  <si>
    <t>Retribuciones y Complementos - Obreros permanentes</t>
  </si>
  <si>
    <t>70</t>
  </si>
  <si>
    <t>Sentencias judiciales y laudos arbitrales</t>
  </si>
  <si>
    <t>18</t>
  </si>
  <si>
    <t>29</t>
  </si>
  <si>
    <t>31</t>
  </si>
  <si>
    <t>Otros servicios de terceros</t>
  </si>
  <si>
    <t>46</t>
  </si>
  <si>
    <t>47</t>
  </si>
  <si>
    <t>Pliego 521 : Universidad Nacional de Piura</t>
  </si>
  <si>
    <t>GRUPO GENÉRICO / ESPECÍFICA</t>
  </si>
  <si>
    <t>43</t>
  </si>
  <si>
    <t>Ayuda financiera a estudiantes y a la investigación universitaria</t>
  </si>
  <si>
    <t>44</t>
  </si>
  <si>
    <t>23</t>
  </si>
  <si>
    <t>Combustible y lubricantes</t>
  </si>
  <si>
    <t>Materiales de construcción</t>
  </si>
  <si>
    <t>71</t>
  </si>
  <si>
    <t>60</t>
  </si>
  <si>
    <t>Adquisición de inmuebles</t>
  </si>
  <si>
    <t>EJECUCIÓN AL    II TRIMESTRE</t>
  </si>
  <si>
    <t>Sentencias Judiciales</t>
  </si>
  <si>
    <t>Impuestos, multas y contribuciones</t>
  </si>
  <si>
    <t>Sentencais Judiciales</t>
  </si>
  <si>
    <t>Bienes de distribución gratuita</t>
  </si>
</sst>
</file>

<file path=xl/styles.xml><?xml version="1.0" encoding="utf-8"?>
<styleSheet xmlns="http://schemas.openxmlformats.org/spreadsheetml/2006/main">
  <numFmts count="2">
    <numFmt numFmtId="164" formatCode="#,##0.0_);\(#,##0.0\)"/>
    <numFmt numFmtId="165" formatCode="0.000%"/>
  </numFmts>
  <fonts count="5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37" fontId="4" fillId="0" borderId="1" xfId="0" applyNumberFormat="1" applyFont="1" applyBorder="1" applyAlignment="1">
      <alignment vertical="center"/>
    </xf>
    <xf numFmtId="10" fontId="4" fillId="0" borderId="1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1" applyNumberFormat="1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2" xfId="1" applyNumberFormat="1" applyFont="1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4" fillId="0" borderId="1" xfId="0" applyNumberFormat="1" applyFont="1" applyBorder="1"/>
    <xf numFmtId="10" fontId="4" fillId="0" borderId="1" xfId="1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10" fontId="4" fillId="0" borderId="0" xfId="1" applyNumberFormat="1" applyFont="1" applyBorder="1"/>
    <xf numFmtId="37" fontId="4" fillId="0" borderId="3" xfId="0" applyNumberFormat="1" applyFont="1" applyBorder="1"/>
    <xf numFmtId="10" fontId="4" fillId="0" borderId="3" xfId="1" applyNumberFormat="1" applyFont="1" applyBorder="1"/>
    <xf numFmtId="3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/>
    <xf numFmtId="9" fontId="2" fillId="0" borderId="0" xfId="0" applyNumberFormat="1" applyFont="1" applyFill="1"/>
    <xf numFmtId="0" fontId="4" fillId="0" borderId="0" xfId="0" applyFont="1" applyBorder="1"/>
    <xf numFmtId="164" fontId="2" fillId="0" borderId="0" xfId="0" applyNumberFormat="1" applyFont="1"/>
    <xf numFmtId="0" fontId="2" fillId="0" borderId="1" xfId="0" applyFont="1" applyFill="1" applyBorder="1"/>
    <xf numFmtId="37" fontId="4" fillId="0" borderId="1" xfId="0" applyNumberFormat="1" applyFont="1" applyFill="1" applyBorder="1"/>
    <xf numFmtId="10" fontId="4" fillId="0" borderId="1" xfId="1" applyNumberFormat="1" applyFont="1" applyFill="1" applyBorder="1"/>
    <xf numFmtId="0" fontId="4" fillId="0" borderId="1" xfId="0" applyFont="1" applyFill="1" applyBorder="1"/>
    <xf numFmtId="2" fontId="2" fillId="0" borderId="0" xfId="0" applyNumberFormat="1" applyFont="1"/>
    <xf numFmtId="37" fontId="2" fillId="0" borderId="0" xfId="0" applyNumberFormat="1" applyFont="1" applyFill="1"/>
    <xf numFmtId="37" fontId="2" fillId="0" borderId="0" xfId="0" applyNumberFormat="1" applyFont="1" applyAlignment="1">
      <alignment horizontal="right"/>
    </xf>
    <xf numFmtId="165" fontId="2" fillId="0" borderId="0" xfId="1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9" fontId="2" fillId="0" borderId="0" xfId="0" applyNumberFormat="1" applyFont="1"/>
    <xf numFmtId="39" fontId="4" fillId="0" borderId="1" xfId="0" applyNumberFormat="1" applyFont="1" applyBorder="1"/>
    <xf numFmtId="39" fontId="4" fillId="0" borderId="0" xfId="0" applyNumberFormat="1" applyFont="1" applyBorder="1"/>
    <xf numFmtId="39" fontId="2" fillId="0" borderId="0" xfId="0" applyNumberFormat="1" applyFont="1" applyBorder="1"/>
    <xf numFmtId="10" fontId="2" fillId="0" borderId="0" xfId="1" applyNumberFormat="1" applyFont="1" applyFill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ados%20operativos%202005-UNP-I%20trimes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 OPERAT I TRIM 05"/>
      <sheetName val="RESULTADOS OPERATIVOS en soles"/>
    </sheetNames>
    <sheetDataSet>
      <sheetData sheetId="0"/>
      <sheetData sheetId="1">
        <row r="47">
          <cell r="E47">
            <v>0</v>
          </cell>
        </row>
        <row r="124">
          <cell r="D124">
            <v>0</v>
          </cell>
          <cell r="E124">
            <v>0</v>
          </cell>
        </row>
        <row r="125">
          <cell r="D125">
            <v>0</v>
          </cell>
          <cell r="E125">
            <v>0</v>
          </cell>
        </row>
        <row r="126">
          <cell r="D126">
            <v>0</v>
          </cell>
          <cell r="E126">
            <v>0</v>
          </cell>
        </row>
        <row r="129">
          <cell r="D129">
            <v>0</v>
          </cell>
          <cell r="E12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" customWidth="1"/>
    <col min="2" max="2" width="4.42578125" style="1" customWidth="1"/>
    <col min="3" max="3" width="48.42578125" style="1" bestFit="1" customWidth="1"/>
    <col min="4" max="4" width="16.42578125" style="1" hidden="1" customWidth="1"/>
    <col min="5" max="5" width="15.42578125" style="1" customWidth="1"/>
    <col min="6" max="6" width="15.140625" style="1" customWidth="1"/>
    <col min="7" max="16384" width="11.42578125" style="1"/>
  </cols>
  <sheetData>
    <row r="6" spans="2:6" ht="12.75">
      <c r="B6" s="46" t="s">
        <v>153</v>
      </c>
      <c r="C6" s="46"/>
      <c r="D6" s="46"/>
      <c r="E6" s="46"/>
      <c r="F6" s="46"/>
    </row>
    <row r="7" spans="2:6" ht="12.75" customHeight="1">
      <c r="B7" s="44" t="s">
        <v>168</v>
      </c>
      <c r="C7" s="44"/>
      <c r="D7" s="44"/>
      <c r="E7" s="44"/>
      <c r="F7" s="44"/>
    </row>
    <row r="8" spans="2:6" ht="12.75" customHeight="1">
      <c r="B8" s="44" t="s">
        <v>0</v>
      </c>
      <c r="C8" s="44"/>
      <c r="D8" s="44"/>
      <c r="E8" s="44"/>
      <c r="F8" s="44"/>
    </row>
    <row r="10" spans="2:6">
      <c r="B10" s="2" t="s">
        <v>2</v>
      </c>
      <c r="D10" s="7"/>
    </row>
    <row r="11" spans="2:6" ht="12.75" customHeight="1">
      <c r="B11" s="47" t="s">
        <v>103</v>
      </c>
      <c r="C11" s="47"/>
      <c r="D11" s="47" t="s">
        <v>107</v>
      </c>
      <c r="E11" s="47" t="s">
        <v>169</v>
      </c>
      <c r="F11" s="47" t="s">
        <v>3</v>
      </c>
    </row>
    <row r="12" spans="2:6" ht="11.25" customHeight="1">
      <c r="B12" s="50"/>
      <c r="C12" s="50"/>
      <c r="D12" s="48"/>
      <c r="E12" s="48"/>
      <c r="F12" s="48"/>
    </row>
    <row r="13" spans="2:6" ht="11.25" customHeight="1">
      <c r="B13" s="51"/>
      <c r="C13" s="51"/>
      <c r="D13" s="49"/>
      <c r="E13" s="49"/>
      <c r="F13" s="49"/>
    </row>
    <row r="14" spans="2:6" ht="9" customHeight="1">
      <c r="B14" s="3"/>
    </row>
    <row r="15" spans="2:6" ht="18" customHeight="1">
      <c r="B15" s="45" t="s">
        <v>154</v>
      </c>
      <c r="C15" s="45"/>
      <c r="D15" s="4">
        <f>SUM(D16:D20)</f>
        <v>12469542462</v>
      </c>
      <c r="E15" s="4">
        <f>SUM(E16:E20)</f>
        <v>8546471417.8600006</v>
      </c>
      <c r="F15" s="5">
        <f t="shared" ref="F15:F20" si="0">+E15/D15</f>
        <v>0.68538773125836283</v>
      </c>
    </row>
    <row r="16" spans="2:6">
      <c r="B16" s="6" t="s">
        <v>1</v>
      </c>
      <c r="C16" s="1" t="s">
        <v>4</v>
      </c>
      <c r="D16" s="7">
        <v>7155824978</v>
      </c>
      <c r="E16" s="7">
        <v>5838325644.5500002</v>
      </c>
      <c r="F16" s="8">
        <f t="shared" si="0"/>
        <v>0.81588435470395881</v>
      </c>
    </row>
    <row r="17" spans="2:7">
      <c r="B17" s="6" t="s">
        <v>155</v>
      </c>
      <c r="C17" s="1" t="s">
        <v>5</v>
      </c>
      <c r="D17" s="7">
        <v>19442312</v>
      </c>
      <c r="E17" s="7">
        <v>9377642.0899999999</v>
      </c>
      <c r="F17" s="8">
        <f t="shared" si="0"/>
        <v>0.48233163267825346</v>
      </c>
      <c r="G17" s="7"/>
    </row>
    <row r="18" spans="2:7">
      <c r="B18" s="6" t="s">
        <v>156</v>
      </c>
      <c r="C18" s="1" t="s">
        <v>158</v>
      </c>
      <c r="D18" s="7">
        <v>5218284282</v>
      </c>
      <c r="E18" s="41">
        <v>2691319608.0500002</v>
      </c>
      <c r="F18" s="8">
        <f t="shared" si="0"/>
        <v>0.51574798585302528</v>
      </c>
      <c r="G18" s="32"/>
    </row>
    <row r="19" spans="2:7">
      <c r="B19" s="30" t="s">
        <v>157</v>
      </c>
      <c r="C19" s="24" t="s">
        <v>6</v>
      </c>
      <c r="D19" s="29">
        <v>15199504</v>
      </c>
      <c r="E19" s="29">
        <v>7448523.1699999999</v>
      </c>
      <c r="F19" s="31">
        <f t="shared" si="0"/>
        <v>0.49005041019759593</v>
      </c>
    </row>
    <row r="20" spans="2:7">
      <c r="B20" s="9" t="s">
        <v>166</v>
      </c>
      <c r="C20" s="10" t="s">
        <v>167</v>
      </c>
      <c r="D20" s="11">
        <v>60791386</v>
      </c>
      <c r="E20" s="11">
        <v>0</v>
      </c>
      <c r="F20" s="12">
        <f t="shared" si="0"/>
        <v>0</v>
      </c>
    </row>
    <row r="21" spans="2:7">
      <c r="B21" s="3"/>
      <c r="D21" s="7"/>
      <c r="E21" s="7"/>
    </row>
    <row r="22" spans="2:7">
      <c r="B22" s="3"/>
      <c r="D22" s="7"/>
      <c r="E22" s="7"/>
    </row>
    <row r="23" spans="2:7" ht="15" customHeight="1">
      <c r="B23" s="45" t="s">
        <v>102</v>
      </c>
      <c r="C23" s="45"/>
      <c r="D23" s="4">
        <f>SUM(D24:D33)</f>
        <v>12469542462</v>
      </c>
      <c r="E23" s="4">
        <f>SUM(E24:E33)</f>
        <v>8546471417.8600006</v>
      </c>
      <c r="F23" s="5">
        <f>+E23/D23</f>
        <v>0.68538773125836283</v>
      </c>
    </row>
    <row r="24" spans="2:7">
      <c r="B24" s="6" t="s">
        <v>7</v>
      </c>
      <c r="C24" s="13" t="s">
        <v>8</v>
      </c>
      <c r="D24" s="7">
        <f>+D47</f>
        <v>225999725</v>
      </c>
      <c r="E24" s="7">
        <f>+E47</f>
        <v>0</v>
      </c>
      <c r="F24" s="8">
        <v>0</v>
      </c>
    </row>
    <row r="25" spans="2:7">
      <c r="B25" s="6" t="s">
        <v>9</v>
      </c>
      <c r="C25" s="1" t="s">
        <v>10</v>
      </c>
      <c r="D25" s="7">
        <f>+D49</f>
        <v>43798200</v>
      </c>
      <c r="E25" s="7">
        <f>+E49</f>
        <v>24693160.789999999</v>
      </c>
      <c r="F25" s="8">
        <f t="shared" ref="F25:F33" si="1">+E25/D25</f>
        <v>0.5637939639071925</v>
      </c>
    </row>
    <row r="26" spans="2:7">
      <c r="B26" s="6" t="s">
        <v>11</v>
      </c>
      <c r="C26" s="1" t="s">
        <v>12</v>
      </c>
      <c r="D26" s="7">
        <f>+D60</f>
        <v>30961000</v>
      </c>
      <c r="E26" s="7">
        <f>+E60</f>
        <v>20617770.000000004</v>
      </c>
      <c r="F26" s="8">
        <f t="shared" si="1"/>
        <v>0.6659271341364944</v>
      </c>
      <c r="G26" s="7"/>
    </row>
    <row r="27" spans="2:7">
      <c r="B27" s="6" t="s">
        <v>13</v>
      </c>
      <c r="C27" s="1" t="s">
        <v>14</v>
      </c>
      <c r="D27" s="7">
        <f>+D66</f>
        <v>113789052</v>
      </c>
      <c r="E27" s="40">
        <f>+E66</f>
        <v>67623987.480000004</v>
      </c>
      <c r="F27" s="8">
        <f t="shared" si="1"/>
        <v>0.59429256410361875</v>
      </c>
      <c r="G27" s="7"/>
    </row>
    <row r="28" spans="2:7">
      <c r="B28" s="6" t="s">
        <v>15</v>
      </c>
      <c r="C28" s="1" t="s">
        <v>16</v>
      </c>
      <c r="D28" s="7">
        <f>+D98</f>
        <v>253711179</v>
      </c>
      <c r="E28" s="7">
        <f>+E98</f>
        <v>99472556.059999987</v>
      </c>
      <c r="F28" s="8">
        <f t="shared" si="1"/>
        <v>0.39207005561233071</v>
      </c>
    </row>
    <row r="29" spans="2:7">
      <c r="B29" s="6" t="s">
        <v>17</v>
      </c>
      <c r="C29" s="1" t="s">
        <v>18</v>
      </c>
      <c r="D29" s="7">
        <f>+D108</f>
        <v>64570750</v>
      </c>
      <c r="E29" s="7">
        <f>+E108</f>
        <v>28282556.469999999</v>
      </c>
      <c r="F29" s="8">
        <f t="shared" si="1"/>
        <v>0.43800879608801196</v>
      </c>
      <c r="G29" s="7"/>
    </row>
    <row r="30" spans="2:7">
      <c r="B30" s="6" t="s">
        <v>19</v>
      </c>
      <c r="C30" s="1" t="s">
        <v>20</v>
      </c>
      <c r="D30" s="7">
        <f>+D122</f>
        <v>18902400</v>
      </c>
      <c r="E30" s="7">
        <f>+E122</f>
        <v>13250440.85</v>
      </c>
      <c r="F30" s="8">
        <f t="shared" si="1"/>
        <v>0.70099251153292697</v>
      </c>
    </row>
    <row r="31" spans="2:7">
      <c r="B31" s="6" t="s">
        <v>21</v>
      </c>
      <c r="C31" s="1" t="s">
        <v>22</v>
      </c>
      <c r="D31" s="7">
        <f>+D128</f>
        <v>6897661</v>
      </c>
      <c r="E31" s="7">
        <f>+E128</f>
        <v>1179284.28</v>
      </c>
      <c r="F31" s="8">
        <f t="shared" si="1"/>
        <v>0.17096872113604888</v>
      </c>
      <c r="G31" s="7"/>
    </row>
    <row r="32" spans="2:7">
      <c r="B32" s="6" t="s">
        <v>23</v>
      </c>
      <c r="C32" s="1" t="s">
        <v>100</v>
      </c>
      <c r="D32" s="7">
        <f>+D132</f>
        <v>6426938387</v>
      </c>
      <c r="E32" s="7">
        <f>+E132</f>
        <v>4015483600.4100003</v>
      </c>
      <c r="F32" s="8">
        <f t="shared" si="1"/>
        <v>0.62478949674268913</v>
      </c>
    </row>
    <row r="33" spans="2:7">
      <c r="B33" s="9" t="s">
        <v>24</v>
      </c>
      <c r="C33" s="10" t="s">
        <v>101</v>
      </c>
      <c r="D33" s="11">
        <f>+D138</f>
        <v>5283974108</v>
      </c>
      <c r="E33" s="11">
        <f>+E138</f>
        <v>4275868061.52</v>
      </c>
      <c r="F33" s="12">
        <f t="shared" si="1"/>
        <v>0.80921442348596762</v>
      </c>
      <c r="G33" s="7"/>
    </row>
    <row r="34" spans="2:7">
      <c r="B34" s="3"/>
      <c r="G34" s="7"/>
    </row>
    <row r="35" spans="2:7">
      <c r="B35" s="3"/>
      <c r="D35" s="7"/>
      <c r="E35" s="7"/>
    </row>
    <row r="36" spans="2:7">
      <c r="B36" s="3"/>
    </row>
    <row r="37" spans="2:7">
      <c r="B37" s="3"/>
    </row>
    <row r="38" spans="2:7" ht="12.75" customHeight="1">
      <c r="B38" s="46" t="s">
        <v>153</v>
      </c>
      <c r="C38" s="46"/>
      <c r="D38" s="46"/>
      <c r="E38" s="46"/>
      <c r="F38" s="46"/>
    </row>
    <row r="39" spans="2:7" ht="12.75" customHeight="1">
      <c r="B39" s="44" t="s">
        <v>168</v>
      </c>
      <c r="C39" s="44"/>
      <c r="D39" s="44"/>
      <c r="E39" s="44"/>
      <c r="F39" s="44"/>
    </row>
    <row r="40" spans="2:7" ht="12.75" customHeight="1">
      <c r="B40" s="44" t="s">
        <v>0</v>
      </c>
      <c r="C40" s="44"/>
      <c r="D40" s="44"/>
      <c r="E40" s="44"/>
      <c r="F40" s="44"/>
    </row>
    <row r="42" spans="2:7">
      <c r="B42" s="2" t="s">
        <v>2</v>
      </c>
    </row>
    <row r="43" spans="2:7" ht="11.25" customHeight="1">
      <c r="B43" s="47"/>
      <c r="C43" s="47"/>
      <c r="D43" s="47" t="s">
        <v>95</v>
      </c>
      <c r="E43" s="47" t="s">
        <v>169</v>
      </c>
      <c r="F43" s="47" t="s">
        <v>3</v>
      </c>
    </row>
    <row r="44" spans="2:7" ht="11.25" customHeight="1">
      <c r="B44" s="50"/>
      <c r="C44" s="50"/>
      <c r="D44" s="48"/>
      <c r="E44" s="48"/>
      <c r="F44" s="48"/>
    </row>
    <row r="45" spans="2:7" ht="11.25" customHeight="1">
      <c r="B45" s="51"/>
      <c r="C45" s="51"/>
      <c r="D45" s="49"/>
      <c r="E45" s="49"/>
      <c r="F45" s="49"/>
    </row>
    <row r="46" spans="2:7" ht="11.25" customHeight="1">
      <c r="B46" s="3"/>
    </row>
    <row r="47" spans="2:7">
      <c r="B47" s="15" t="s">
        <v>91</v>
      </c>
      <c r="C47" s="17"/>
      <c r="D47" s="18">
        <v>225999725</v>
      </c>
      <c r="E47" s="18">
        <v>0</v>
      </c>
      <c r="F47" s="19">
        <v>0</v>
      </c>
    </row>
    <row r="48" spans="2:7">
      <c r="B48" s="23"/>
      <c r="C48" s="24"/>
      <c r="D48" s="25"/>
      <c r="E48" s="25"/>
      <c r="F48" s="26"/>
    </row>
    <row r="49" spans="2:7">
      <c r="B49" s="20" t="s">
        <v>55</v>
      </c>
      <c r="C49" s="20"/>
      <c r="D49" s="18">
        <f>SUM(D50:D58)</f>
        <v>43798200</v>
      </c>
      <c r="E49" s="18">
        <f>SUM(E50:E58)</f>
        <v>24693160.789999999</v>
      </c>
      <c r="F49" s="19">
        <f t="shared" ref="F49:F58" si="2">+E49/D49</f>
        <v>0.5637939639071925</v>
      </c>
    </row>
    <row r="50" spans="2:7">
      <c r="B50" s="6" t="s">
        <v>32</v>
      </c>
      <c r="C50" s="1" t="s">
        <v>54</v>
      </c>
      <c r="D50" s="7">
        <v>4734468</v>
      </c>
      <c r="E50" s="41">
        <v>3609230.43</v>
      </c>
      <c r="F50" s="8">
        <f t="shared" si="2"/>
        <v>0.7623307264934519</v>
      </c>
      <c r="G50" s="7"/>
    </row>
    <row r="51" spans="2:7">
      <c r="B51" s="6" t="s">
        <v>33</v>
      </c>
      <c r="C51" s="1" t="s">
        <v>25</v>
      </c>
      <c r="D51" s="7">
        <v>10860</v>
      </c>
      <c r="E51" s="7">
        <v>8149.86</v>
      </c>
      <c r="F51" s="8">
        <f t="shared" si="2"/>
        <v>0.75044751381215469</v>
      </c>
    </row>
    <row r="52" spans="2:7">
      <c r="B52" s="6" t="s">
        <v>34</v>
      </c>
      <c r="C52" s="1" t="s">
        <v>26</v>
      </c>
      <c r="D52" s="7">
        <v>872280</v>
      </c>
      <c r="E52" s="7">
        <v>391372.19</v>
      </c>
      <c r="F52" s="8">
        <f t="shared" si="2"/>
        <v>0.44867724813133397</v>
      </c>
    </row>
    <row r="53" spans="2:7">
      <c r="B53" s="6" t="s">
        <v>35</v>
      </c>
      <c r="C53" s="1" t="s">
        <v>27</v>
      </c>
      <c r="D53" s="7">
        <v>502040</v>
      </c>
      <c r="E53" s="7">
        <v>369878.43</v>
      </c>
      <c r="F53" s="8">
        <f t="shared" si="2"/>
        <v>0.73675091626165246</v>
      </c>
    </row>
    <row r="54" spans="2:7">
      <c r="B54" s="6" t="s">
        <v>36</v>
      </c>
      <c r="C54" s="1" t="s">
        <v>28</v>
      </c>
      <c r="D54" s="7">
        <v>13362</v>
      </c>
      <c r="E54" s="7">
        <v>11412.43</v>
      </c>
      <c r="F54" s="8">
        <f t="shared" si="2"/>
        <v>0.85409594372099984</v>
      </c>
    </row>
    <row r="55" spans="2:7">
      <c r="B55" s="6" t="s">
        <v>109</v>
      </c>
      <c r="C55" s="1" t="s">
        <v>110</v>
      </c>
      <c r="D55" s="7">
        <v>334400</v>
      </c>
      <c r="E55" s="7">
        <v>234884.45</v>
      </c>
      <c r="F55" s="8">
        <f t="shared" si="2"/>
        <v>0.70240565191387561</v>
      </c>
    </row>
    <row r="56" spans="2:7">
      <c r="B56" s="6" t="s">
        <v>37</v>
      </c>
      <c r="C56" s="1" t="s">
        <v>29</v>
      </c>
      <c r="D56" s="7">
        <v>37184980</v>
      </c>
      <c r="E56" s="7">
        <v>19922990.460000001</v>
      </c>
      <c r="F56" s="8">
        <f t="shared" si="2"/>
        <v>0.53578058829129394</v>
      </c>
    </row>
    <row r="57" spans="2:7">
      <c r="B57" s="6" t="s">
        <v>38</v>
      </c>
      <c r="C57" s="1" t="s">
        <v>30</v>
      </c>
      <c r="D57" s="7">
        <v>3869</v>
      </c>
      <c r="E57" s="7">
        <v>3868.96</v>
      </c>
      <c r="F57" s="8">
        <f t="shared" si="2"/>
        <v>0.99998966141121737</v>
      </c>
    </row>
    <row r="58" spans="2:7">
      <c r="B58" s="6" t="s">
        <v>164</v>
      </c>
      <c r="C58" s="1" t="s">
        <v>165</v>
      </c>
      <c r="D58" s="7">
        <v>141941</v>
      </c>
      <c r="E58" s="7">
        <v>141373.57999999999</v>
      </c>
      <c r="F58" s="8">
        <f t="shared" si="2"/>
        <v>0.99600242354217583</v>
      </c>
    </row>
    <row r="59" spans="2:7">
      <c r="B59" s="6"/>
      <c r="D59" s="7"/>
      <c r="E59" s="7"/>
    </row>
    <row r="60" spans="2:7">
      <c r="B60" s="20" t="s">
        <v>56</v>
      </c>
      <c r="C60" s="17"/>
      <c r="D60" s="18">
        <f>SUM(D61:D64)</f>
        <v>30961000</v>
      </c>
      <c r="E60" s="18">
        <f>SUM(E61:E64)</f>
        <v>20617770.000000004</v>
      </c>
      <c r="F60" s="19">
        <f>+E60/D60</f>
        <v>0.6659271341364944</v>
      </c>
    </row>
    <row r="61" spans="2:7">
      <c r="B61" s="6" t="s">
        <v>39</v>
      </c>
      <c r="C61" s="1" t="s">
        <v>31</v>
      </c>
      <c r="D61" s="7">
        <v>27583104</v>
      </c>
      <c r="E61" s="7">
        <v>18818946.670000002</v>
      </c>
      <c r="F61" s="8">
        <f>+E61/D61</f>
        <v>0.6822635577924806</v>
      </c>
    </row>
    <row r="62" spans="2:7">
      <c r="B62" s="6" t="s">
        <v>109</v>
      </c>
      <c r="C62" s="1" t="s">
        <v>110</v>
      </c>
      <c r="D62" s="7">
        <v>2267400</v>
      </c>
      <c r="E62" s="7">
        <v>1366476.6</v>
      </c>
      <c r="F62" s="8">
        <f>+E62/D62</f>
        <v>0.60266234453559142</v>
      </c>
    </row>
    <row r="63" spans="2:7">
      <c r="B63" s="6" t="s">
        <v>37</v>
      </c>
      <c r="C63" s="1" t="s">
        <v>29</v>
      </c>
      <c r="D63" s="7">
        <v>173896</v>
      </c>
      <c r="E63" s="7">
        <v>112718.22</v>
      </c>
      <c r="F63" s="8">
        <f>+E63/D63</f>
        <v>0.64819328794221831</v>
      </c>
    </row>
    <row r="64" spans="2:7">
      <c r="B64" s="6" t="s">
        <v>38</v>
      </c>
      <c r="C64" s="1" t="s">
        <v>30</v>
      </c>
      <c r="D64" s="7">
        <v>936600</v>
      </c>
      <c r="E64" s="7">
        <v>319628.51</v>
      </c>
      <c r="F64" s="8">
        <f>+E64/D64</f>
        <v>0.34126469143711297</v>
      </c>
    </row>
    <row r="65" spans="2:8">
      <c r="B65" s="14"/>
      <c r="C65" s="2"/>
      <c r="D65" s="7"/>
      <c r="E65" s="7"/>
      <c r="F65" s="7"/>
      <c r="G65" s="7"/>
      <c r="H65" s="7"/>
    </row>
    <row r="66" spans="2:8">
      <c r="B66" s="20" t="s">
        <v>57</v>
      </c>
      <c r="C66" s="38"/>
      <c r="D66" s="36">
        <f>SUM(D67:D96)</f>
        <v>113789052</v>
      </c>
      <c r="E66" s="36">
        <f>SUM(E67:E96)</f>
        <v>67623987.480000004</v>
      </c>
      <c r="F66" s="37">
        <f t="shared" ref="F66:F96" si="3">+E66/D66</f>
        <v>0.59429256410361875</v>
      </c>
      <c r="G66" s="7"/>
    </row>
    <row r="67" spans="2:8">
      <c r="B67" s="6" t="s">
        <v>47</v>
      </c>
      <c r="C67" s="1" t="s">
        <v>40</v>
      </c>
      <c r="D67" s="7">
        <v>1465264</v>
      </c>
      <c r="E67" s="7">
        <v>595008.21</v>
      </c>
      <c r="F67" s="8">
        <f t="shared" si="3"/>
        <v>0.40607577201105055</v>
      </c>
      <c r="G67" s="7"/>
      <c r="H67" s="7"/>
    </row>
    <row r="68" spans="2:8">
      <c r="B68" s="6" t="s">
        <v>48</v>
      </c>
      <c r="C68" s="1" t="s">
        <v>41</v>
      </c>
      <c r="D68" s="7">
        <v>778699</v>
      </c>
      <c r="E68" s="7">
        <v>557759.76</v>
      </c>
      <c r="F68" s="8">
        <f t="shared" si="3"/>
        <v>0.71627131921320053</v>
      </c>
    </row>
    <row r="69" spans="2:8">
      <c r="B69" s="6" t="s">
        <v>59</v>
      </c>
      <c r="C69" s="1" t="s">
        <v>58</v>
      </c>
      <c r="D69" s="7">
        <v>297100</v>
      </c>
      <c r="E69" s="7">
        <v>159437.62</v>
      </c>
      <c r="F69" s="8">
        <f t="shared" si="3"/>
        <v>0.53664631437226518</v>
      </c>
    </row>
    <row r="70" spans="2:8">
      <c r="B70" s="6" t="s">
        <v>49</v>
      </c>
      <c r="C70" s="1" t="s">
        <v>136</v>
      </c>
      <c r="D70" s="7">
        <v>290540</v>
      </c>
      <c r="E70" s="7">
        <v>152403.47</v>
      </c>
      <c r="F70" s="8">
        <f t="shared" si="3"/>
        <v>0.52455245405107731</v>
      </c>
    </row>
    <row r="71" spans="2:8">
      <c r="B71" s="6" t="s">
        <v>50</v>
      </c>
      <c r="C71" s="1" t="s">
        <v>43</v>
      </c>
      <c r="D71" s="7">
        <v>28486812</v>
      </c>
      <c r="E71" s="7">
        <v>18219070.239999998</v>
      </c>
      <c r="F71" s="8">
        <f t="shared" si="3"/>
        <v>0.63956157115790979</v>
      </c>
    </row>
    <row r="72" spans="2:8">
      <c r="B72" s="6" t="s">
        <v>61</v>
      </c>
      <c r="C72" s="1" t="s">
        <v>60</v>
      </c>
      <c r="D72" s="7">
        <v>629700</v>
      </c>
      <c r="E72" s="7">
        <v>367123.87</v>
      </c>
      <c r="F72" s="8">
        <f t="shared" si="3"/>
        <v>0.58301392726695256</v>
      </c>
    </row>
    <row r="73" spans="2:8">
      <c r="B73" s="6" t="s">
        <v>51</v>
      </c>
      <c r="C73" s="1" t="s">
        <v>44</v>
      </c>
      <c r="D73" s="7">
        <v>7887635</v>
      </c>
      <c r="E73" s="7">
        <v>554680.31999999995</v>
      </c>
      <c r="F73" s="8">
        <f t="shared" si="3"/>
        <v>7.0322767217296439E-2</v>
      </c>
    </row>
    <row r="74" spans="2:8">
      <c r="B74" s="6" t="s">
        <v>52</v>
      </c>
      <c r="C74" s="1" t="s">
        <v>45</v>
      </c>
      <c r="D74" s="7">
        <v>1332648</v>
      </c>
      <c r="E74" s="7">
        <v>470883.18</v>
      </c>
      <c r="F74" s="8">
        <f t="shared" si="3"/>
        <v>0.35334400381796244</v>
      </c>
    </row>
    <row r="75" spans="2:8">
      <c r="B75" s="6" t="s">
        <v>64</v>
      </c>
      <c r="C75" s="1" t="s">
        <v>62</v>
      </c>
      <c r="D75" s="7">
        <f>10865271+39000000</f>
        <v>49865271</v>
      </c>
      <c r="E75" s="7">
        <f>3189260.44+31500000</f>
        <v>34689260.439999998</v>
      </c>
      <c r="F75" s="8">
        <f t="shared" si="3"/>
        <v>0.69565971956715122</v>
      </c>
    </row>
    <row r="76" spans="2:8">
      <c r="B76" s="6" t="s">
        <v>65</v>
      </c>
      <c r="C76" s="1" t="s">
        <v>63</v>
      </c>
      <c r="D76" s="7">
        <v>2706366</v>
      </c>
      <c r="E76" s="7">
        <v>2094698.46</v>
      </c>
      <c r="F76" s="8">
        <f t="shared" si="3"/>
        <v>0.77398934955582499</v>
      </c>
    </row>
    <row r="77" spans="2:8">
      <c r="B77" s="6" t="s">
        <v>53</v>
      </c>
      <c r="C77" s="1" t="s">
        <v>46</v>
      </c>
      <c r="D77" s="7">
        <v>12669146</v>
      </c>
      <c r="E77" s="7">
        <v>6143052.1100000003</v>
      </c>
      <c r="F77" s="8">
        <f t="shared" si="3"/>
        <v>0.48488288871246732</v>
      </c>
    </row>
    <row r="78" spans="2:8">
      <c r="B78" s="6" t="s">
        <v>111</v>
      </c>
      <c r="C78" s="1" t="s">
        <v>125</v>
      </c>
      <c r="D78" s="7">
        <v>29040</v>
      </c>
      <c r="E78" s="7">
        <v>27837.3</v>
      </c>
      <c r="F78" s="8">
        <v>0</v>
      </c>
    </row>
    <row r="79" spans="2:8">
      <c r="B79" s="6" t="s">
        <v>159</v>
      </c>
      <c r="C79" s="1" t="s">
        <v>161</v>
      </c>
      <c r="D79" s="7">
        <v>310</v>
      </c>
      <c r="E79" s="7">
        <v>55</v>
      </c>
      <c r="F79" s="8">
        <f t="shared" si="3"/>
        <v>0.17741935483870969</v>
      </c>
    </row>
    <row r="80" spans="2:8">
      <c r="B80" s="6" t="s">
        <v>146</v>
      </c>
      <c r="C80" s="1" t="s">
        <v>160</v>
      </c>
      <c r="D80" s="7">
        <v>10</v>
      </c>
      <c r="E80" s="7">
        <v>9.1999999999999993</v>
      </c>
      <c r="F80" s="8">
        <f t="shared" si="3"/>
        <v>0.91999999999999993</v>
      </c>
    </row>
    <row r="81" spans="2:6">
      <c r="B81" s="6" t="s">
        <v>147</v>
      </c>
      <c r="C81" s="1" t="s">
        <v>148</v>
      </c>
      <c r="D81" s="7">
        <v>500</v>
      </c>
      <c r="E81" s="7">
        <v>190</v>
      </c>
      <c r="F81" s="8">
        <v>0</v>
      </c>
    </row>
    <row r="82" spans="2:6">
      <c r="B82" s="6" t="s">
        <v>112</v>
      </c>
      <c r="C82" s="1" t="s">
        <v>142</v>
      </c>
      <c r="D82" s="7">
        <v>803137</v>
      </c>
      <c r="E82" s="7">
        <v>516810.93</v>
      </c>
      <c r="F82" s="8">
        <f t="shared" si="3"/>
        <v>0.64349037586364466</v>
      </c>
    </row>
    <row r="83" spans="2:6">
      <c r="B83" s="6" t="s">
        <v>113</v>
      </c>
      <c r="C83" s="1" t="s">
        <v>126</v>
      </c>
      <c r="D83" s="7">
        <v>1273930</v>
      </c>
      <c r="E83" s="7">
        <v>614592.97</v>
      </c>
      <c r="F83" s="8">
        <f t="shared" si="3"/>
        <v>0.48243857197805212</v>
      </c>
    </row>
    <row r="84" spans="2:6">
      <c r="B84" s="6" t="s">
        <v>149</v>
      </c>
      <c r="C84" s="1" t="s">
        <v>150</v>
      </c>
      <c r="D84" s="7">
        <v>15960</v>
      </c>
      <c r="E84" s="7">
        <v>10785.2</v>
      </c>
      <c r="F84" s="8">
        <f t="shared" si="3"/>
        <v>0.67576441102756901</v>
      </c>
    </row>
    <row r="85" spans="2:6">
      <c r="B85" s="6" t="s">
        <v>151</v>
      </c>
      <c r="C85" s="1" t="s">
        <v>152</v>
      </c>
      <c r="D85" s="7">
        <v>11410</v>
      </c>
      <c r="E85" s="7">
        <v>5539.1</v>
      </c>
      <c r="F85" s="8">
        <f t="shared" si="3"/>
        <v>0.48546012269938654</v>
      </c>
    </row>
    <row r="86" spans="2:6">
      <c r="B86" s="6" t="s">
        <v>114</v>
      </c>
      <c r="C86" s="1" t="s">
        <v>127</v>
      </c>
      <c r="D86" s="7">
        <v>1122260</v>
      </c>
      <c r="E86" s="7">
        <v>786769.44</v>
      </c>
      <c r="F86" s="8">
        <f t="shared" si="3"/>
        <v>0.70105807923297625</v>
      </c>
    </row>
    <row r="87" spans="2:6">
      <c r="B87" s="6" t="s">
        <v>115</v>
      </c>
      <c r="C87" s="1" t="s">
        <v>128</v>
      </c>
      <c r="D87" s="7">
        <v>110300</v>
      </c>
      <c r="E87" s="7">
        <v>69756.679999999993</v>
      </c>
      <c r="F87" s="8">
        <f t="shared" si="3"/>
        <v>0.63242683590208515</v>
      </c>
    </row>
    <row r="88" spans="2:6">
      <c r="B88" s="6" t="s">
        <v>116</v>
      </c>
      <c r="C88" s="1" t="s">
        <v>129</v>
      </c>
      <c r="D88" s="7">
        <v>1194390</v>
      </c>
      <c r="E88" s="7">
        <v>428733.38</v>
      </c>
      <c r="F88" s="8">
        <f t="shared" si="3"/>
        <v>0.35895593566590478</v>
      </c>
    </row>
    <row r="89" spans="2:6">
      <c r="B89" s="6" t="s">
        <v>117</v>
      </c>
      <c r="C89" s="1" t="s">
        <v>130</v>
      </c>
      <c r="D89" s="7">
        <v>700940</v>
      </c>
      <c r="E89" s="7">
        <v>445185.67</v>
      </c>
      <c r="F89" s="8">
        <f t="shared" si="3"/>
        <v>0.63512664422061804</v>
      </c>
    </row>
    <row r="90" spans="2:6">
      <c r="B90" s="6" t="s">
        <v>118</v>
      </c>
      <c r="C90" s="1" t="s">
        <v>131</v>
      </c>
      <c r="D90" s="7">
        <v>347753</v>
      </c>
      <c r="E90" s="7">
        <v>280686.23</v>
      </c>
      <c r="F90" s="8">
        <f t="shared" si="3"/>
        <v>0.80714251207034871</v>
      </c>
    </row>
    <row r="91" spans="2:6">
      <c r="B91" s="6" t="s">
        <v>119</v>
      </c>
      <c r="C91" s="1" t="s">
        <v>132</v>
      </c>
      <c r="D91" s="7">
        <v>129200</v>
      </c>
      <c r="E91" s="7">
        <v>44800</v>
      </c>
      <c r="F91" s="8">
        <f t="shared" si="3"/>
        <v>0.34674922600619196</v>
      </c>
    </row>
    <row r="92" spans="2:6">
      <c r="B92" s="6" t="s">
        <v>120</v>
      </c>
      <c r="C92" s="1" t="s">
        <v>133</v>
      </c>
      <c r="D92" s="7">
        <v>1008021</v>
      </c>
      <c r="E92" s="7">
        <v>250383.75</v>
      </c>
      <c r="F92" s="8">
        <f t="shared" si="3"/>
        <v>0.2483914025600657</v>
      </c>
    </row>
    <row r="93" spans="2:6">
      <c r="B93" s="6" t="s">
        <v>121</v>
      </c>
      <c r="C93" s="1" t="s">
        <v>134</v>
      </c>
      <c r="D93" s="7">
        <v>65499</v>
      </c>
      <c r="E93" s="7">
        <v>0</v>
      </c>
      <c r="F93" s="8">
        <f t="shared" si="3"/>
        <v>0</v>
      </c>
    </row>
    <row r="94" spans="2:6">
      <c r="B94" s="6" t="s">
        <v>122</v>
      </c>
      <c r="C94" s="1" t="s">
        <v>137</v>
      </c>
      <c r="D94" s="7">
        <v>253050</v>
      </c>
      <c r="E94" s="7">
        <v>35178.92</v>
      </c>
      <c r="F94" s="8">
        <f t="shared" si="3"/>
        <v>0.13901964038727524</v>
      </c>
    </row>
    <row r="95" spans="2:6">
      <c r="B95" s="6" t="s">
        <v>123</v>
      </c>
      <c r="C95" s="1" t="s">
        <v>138</v>
      </c>
      <c r="D95" s="7">
        <v>5150</v>
      </c>
      <c r="E95" s="7">
        <v>2600</v>
      </c>
      <c r="F95" s="8">
        <f t="shared" si="3"/>
        <v>0.50485436893203883</v>
      </c>
    </row>
    <row r="96" spans="2:6">
      <c r="B96" s="6" t="s">
        <v>124</v>
      </c>
      <c r="C96" s="1" t="s">
        <v>139</v>
      </c>
      <c r="D96" s="7">
        <v>309011</v>
      </c>
      <c r="E96" s="7">
        <v>100696.03</v>
      </c>
      <c r="F96" s="8">
        <f t="shared" si="3"/>
        <v>0.32586551935044383</v>
      </c>
    </row>
    <row r="97" spans="2:9">
      <c r="B97" s="6"/>
      <c r="D97" s="7"/>
      <c r="E97" s="7"/>
    </row>
    <row r="98" spans="2:9">
      <c r="B98" s="20" t="s">
        <v>66</v>
      </c>
      <c r="C98" s="17"/>
      <c r="D98" s="18">
        <f>SUM(D99:D106)</f>
        <v>253711179</v>
      </c>
      <c r="E98" s="18">
        <f>SUM(E99:E106)</f>
        <v>99472556.059999987</v>
      </c>
      <c r="F98" s="19">
        <f t="shared" ref="F98:F106" si="4">+E98/D98</f>
        <v>0.39207005561233071</v>
      </c>
      <c r="G98" s="7"/>
      <c r="I98" s="7"/>
    </row>
    <row r="99" spans="2:9">
      <c r="B99" s="6" t="s">
        <v>67</v>
      </c>
      <c r="C99" s="1" t="s">
        <v>69</v>
      </c>
      <c r="D99" s="7">
        <v>8797580</v>
      </c>
      <c r="E99" s="7">
        <v>5260448.66</v>
      </c>
      <c r="F99" s="8">
        <f t="shared" si="4"/>
        <v>0.59794269105822284</v>
      </c>
      <c r="G99" s="7"/>
      <c r="H99" s="7"/>
    </row>
    <row r="100" spans="2:9">
      <c r="B100" s="6" t="s">
        <v>140</v>
      </c>
      <c r="C100" s="1" t="s">
        <v>141</v>
      </c>
      <c r="D100" s="7">
        <v>4140300</v>
      </c>
      <c r="E100" s="7">
        <v>2478987.36</v>
      </c>
      <c r="F100" s="8">
        <f t="shared" si="4"/>
        <v>0.59874583001231796</v>
      </c>
      <c r="G100" s="7"/>
      <c r="H100" s="7"/>
    </row>
    <row r="101" spans="2:9">
      <c r="B101" s="6" t="s">
        <v>53</v>
      </c>
      <c r="C101" s="1" t="s">
        <v>46</v>
      </c>
      <c r="D101" s="7">
        <v>412512</v>
      </c>
      <c r="E101" s="7">
        <v>88209.64</v>
      </c>
      <c r="F101" s="8">
        <f t="shared" si="4"/>
        <v>0.2138353308509813</v>
      </c>
      <c r="G101" s="7"/>
      <c r="H101" s="7"/>
    </row>
    <row r="102" spans="2:9">
      <c r="B102" s="6" t="s">
        <v>37</v>
      </c>
      <c r="C102" s="1" t="s">
        <v>29</v>
      </c>
      <c r="D102" s="7">
        <f>2880000+488487+98497105+1300000+497561</f>
        <v>103663153</v>
      </c>
      <c r="E102" s="7">
        <f>2390000+397643.23+59973534.03+961003+307717.93</f>
        <v>64029898.189999998</v>
      </c>
      <c r="F102" s="8">
        <f t="shared" si="4"/>
        <v>0.61767268635944339</v>
      </c>
      <c r="G102" s="7"/>
      <c r="H102" s="42"/>
    </row>
    <row r="103" spans="2:9">
      <c r="B103" s="6" t="s">
        <v>98</v>
      </c>
      <c r="C103" s="1" t="s">
        <v>99</v>
      </c>
      <c r="D103" s="7">
        <v>34930</v>
      </c>
      <c r="E103" s="7">
        <v>2930</v>
      </c>
      <c r="F103" s="8">
        <f t="shared" si="4"/>
        <v>8.3882049813913548E-2</v>
      </c>
    </row>
    <row r="104" spans="2:9">
      <c r="B104" s="6" t="s">
        <v>144</v>
      </c>
      <c r="C104" s="1" t="s">
        <v>145</v>
      </c>
      <c r="D104" s="7">
        <v>27010</v>
      </c>
      <c r="E104" s="7">
        <v>6595</v>
      </c>
      <c r="F104" s="8">
        <f t="shared" si="4"/>
        <v>0.24416882636060719</v>
      </c>
    </row>
    <row r="105" spans="2:9">
      <c r="B105" s="6" t="s">
        <v>108</v>
      </c>
      <c r="C105" s="1" t="s">
        <v>135</v>
      </c>
      <c r="D105" s="7">
        <v>132880550</v>
      </c>
      <c r="E105" s="7">
        <v>24841670</v>
      </c>
      <c r="F105" s="8">
        <f t="shared" si="4"/>
        <v>0.18694737491679558</v>
      </c>
    </row>
    <row r="106" spans="2:9">
      <c r="B106" s="6" t="s">
        <v>38</v>
      </c>
      <c r="C106" s="1" t="s">
        <v>30</v>
      </c>
      <c r="D106" s="7">
        <v>3755144</v>
      </c>
      <c r="E106" s="7">
        <v>2763817.21</v>
      </c>
      <c r="F106" s="8">
        <f t="shared" si="4"/>
        <v>0.73600831552664825</v>
      </c>
    </row>
    <row r="107" spans="2:9">
      <c r="B107" s="6"/>
      <c r="D107" s="7"/>
      <c r="E107" s="7"/>
    </row>
    <row r="108" spans="2:9">
      <c r="B108" s="20" t="s">
        <v>71</v>
      </c>
      <c r="C108" s="35"/>
      <c r="D108" s="36">
        <f>SUM(D109:D120)</f>
        <v>64570750</v>
      </c>
      <c r="E108" s="36">
        <f>SUM(E109:E120)</f>
        <v>28282556.469999999</v>
      </c>
      <c r="F108" s="37">
        <f t="shared" ref="F108:F120" si="5">+E108/D108</f>
        <v>0.43800879608801196</v>
      </c>
      <c r="G108" s="7"/>
      <c r="H108" s="34"/>
    </row>
    <row r="109" spans="2:9">
      <c r="B109" s="30" t="s">
        <v>47</v>
      </c>
      <c r="C109" s="24" t="s">
        <v>40</v>
      </c>
      <c r="D109" s="29">
        <v>384261</v>
      </c>
      <c r="E109" s="29">
        <v>57541</v>
      </c>
      <c r="F109" s="31">
        <f t="shared" si="5"/>
        <v>0.14974457465108351</v>
      </c>
      <c r="G109" s="7"/>
      <c r="H109" s="39"/>
    </row>
    <row r="110" spans="2:9">
      <c r="B110" s="6" t="s">
        <v>49</v>
      </c>
      <c r="C110" s="1" t="s">
        <v>42</v>
      </c>
      <c r="D110" s="7">
        <v>2306</v>
      </c>
      <c r="E110" s="7">
        <v>1570.25</v>
      </c>
      <c r="F110" s="31">
        <f t="shared" si="5"/>
        <v>0.68094102341717255</v>
      </c>
    </row>
    <row r="111" spans="2:9">
      <c r="B111" s="6" t="s">
        <v>50</v>
      </c>
      <c r="C111" s="1" t="s">
        <v>43</v>
      </c>
      <c r="D111" s="7">
        <v>3682439</v>
      </c>
      <c r="E111" s="7">
        <v>0</v>
      </c>
      <c r="F111" s="31">
        <f t="shared" si="5"/>
        <v>0</v>
      </c>
    </row>
    <row r="112" spans="2:9">
      <c r="B112" s="6" t="s">
        <v>51</v>
      </c>
      <c r="C112" s="1" t="s">
        <v>44</v>
      </c>
      <c r="D112" s="7">
        <v>8153</v>
      </c>
      <c r="E112" s="7">
        <v>954.88</v>
      </c>
      <c r="F112" s="31">
        <f t="shared" si="5"/>
        <v>0.11712007849871213</v>
      </c>
    </row>
    <row r="113" spans="2:6">
      <c r="B113" s="6" t="s">
        <v>52</v>
      </c>
      <c r="C113" s="1" t="s">
        <v>45</v>
      </c>
      <c r="D113" s="7">
        <v>650981</v>
      </c>
      <c r="E113" s="7">
        <v>209031.44</v>
      </c>
      <c r="F113" s="31">
        <f t="shared" si="5"/>
        <v>0.32110221342865614</v>
      </c>
    </row>
    <row r="114" spans="2:6">
      <c r="B114" s="6" t="s">
        <v>64</v>
      </c>
      <c r="C114" s="1" t="s">
        <v>62</v>
      </c>
      <c r="D114" s="7">
        <v>26843344</v>
      </c>
      <c r="E114" s="7">
        <v>11130877.77</v>
      </c>
      <c r="F114" s="31">
        <f t="shared" si="5"/>
        <v>0.41466062387756158</v>
      </c>
    </row>
    <row r="115" spans="2:6">
      <c r="B115" s="6" t="s">
        <v>53</v>
      </c>
      <c r="C115" s="1" t="s">
        <v>46</v>
      </c>
      <c r="D115" s="7">
        <v>7790988</v>
      </c>
      <c r="E115" s="7">
        <v>4445557.46</v>
      </c>
      <c r="F115" s="31">
        <f t="shared" si="5"/>
        <v>0.57060252948663248</v>
      </c>
    </row>
    <row r="116" spans="2:6">
      <c r="B116" s="6" t="s">
        <v>37</v>
      </c>
      <c r="C116" s="1" t="s">
        <v>29</v>
      </c>
      <c r="D116" s="7">
        <f>16869843+1435935</f>
        <v>18305778</v>
      </c>
      <c r="E116" s="7">
        <f>7276753.65+1024829.69</f>
        <v>8301583.3399999999</v>
      </c>
      <c r="F116" s="31">
        <v>0</v>
      </c>
    </row>
    <row r="117" spans="2:6">
      <c r="B117" s="6" t="s">
        <v>112</v>
      </c>
      <c r="C117" s="1" t="s">
        <v>142</v>
      </c>
      <c r="D117" s="7">
        <v>9372</v>
      </c>
      <c r="E117" s="7">
        <v>2225.36</v>
      </c>
      <c r="F117" s="31">
        <f t="shared" si="5"/>
        <v>0.23744771660264619</v>
      </c>
    </row>
    <row r="118" spans="2:6">
      <c r="B118" s="6" t="s">
        <v>162</v>
      </c>
      <c r="C118" s="1" t="s">
        <v>163</v>
      </c>
      <c r="D118" s="7">
        <v>126216</v>
      </c>
      <c r="E118" s="7">
        <v>0</v>
      </c>
      <c r="F118" s="31">
        <f t="shared" si="5"/>
        <v>0</v>
      </c>
    </row>
    <row r="119" spans="2:6">
      <c r="B119" s="6" t="s">
        <v>73</v>
      </c>
      <c r="C119" s="1" t="s">
        <v>72</v>
      </c>
      <c r="D119" s="7">
        <v>6673987</v>
      </c>
      <c r="E119" s="7">
        <v>4055124.08</v>
      </c>
      <c r="F119" s="31">
        <f t="shared" si="5"/>
        <v>0.60760143524403032</v>
      </c>
    </row>
    <row r="120" spans="2:6">
      <c r="B120" s="6" t="s">
        <v>113</v>
      </c>
      <c r="C120" s="1" t="s">
        <v>126</v>
      </c>
      <c r="D120" s="7">
        <v>92925</v>
      </c>
      <c r="E120" s="7">
        <v>78090.89</v>
      </c>
      <c r="F120" s="31">
        <f t="shared" si="5"/>
        <v>0.84036470271724506</v>
      </c>
    </row>
    <row r="121" spans="2:6">
      <c r="B121" s="6"/>
      <c r="D121" s="7"/>
      <c r="E121" s="7"/>
    </row>
    <row r="122" spans="2:6">
      <c r="B122" s="20" t="s">
        <v>77</v>
      </c>
      <c r="C122" s="17"/>
      <c r="D122" s="18">
        <f>SUM(D123:D126)</f>
        <v>18902400</v>
      </c>
      <c r="E122" s="18">
        <f>SUM(E123:E126)</f>
        <v>13250440.85</v>
      </c>
      <c r="F122" s="19">
        <f>+E122/D122</f>
        <v>0.70099251153292697</v>
      </c>
    </row>
    <row r="123" spans="2:6">
      <c r="B123" s="6" t="s">
        <v>78</v>
      </c>
      <c r="C123" s="1" t="s">
        <v>80</v>
      </c>
      <c r="D123" s="7">
        <v>18902400</v>
      </c>
      <c r="E123" s="7">
        <v>13250440.85</v>
      </c>
      <c r="F123" s="8">
        <f>+E123/D123</f>
        <v>0.70099251153292697</v>
      </c>
    </row>
    <row r="124" spans="2:6" hidden="1">
      <c r="B124" s="6" t="s">
        <v>104</v>
      </c>
      <c r="C124" s="1" t="s">
        <v>105</v>
      </c>
      <c r="D124" s="7">
        <v>0</v>
      </c>
      <c r="E124" s="7">
        <v>0</v>
      </c>
      <c r="F124" s="8">
        <v>0</v>
      </c>
    </row>
    <row r="125" spans="2:6" hidden="1">
      <c r="B125" s="6" t="s">
        <v>75</v>
      </c>
      <c r="C125" s="1" t="s">
        <v>74</v>
      </c>
      <c r="D125" s="7">
        <v>0</v>
      </c>
      <c r="E125" s="7">
        <v>0</v>
      </c>
      <c r="F125" s="8">
        <v>0</v>
      </c>
    </row>
    <row r="126" spans="2:6" hidden="1">
      <c r="B126" s="6" t="s">
        <v>38</v>
      </c>
      <c r="C126" s="1" t="s">
        <v>30</v>
      </c>
      <c r="D126" s="7">
        <v>0</v>
      </c>
      <c r="E126" s="7">
        <v>0</v>
      </c>
      <c r="F126" s="8">
        <v>0</v>
      </c>
    </row>
    <row r="127" spans="2:6">
      <c r="B127" s="6"/>
      <c r="D127" s="7"/>
      <c r="E127" s="7"/>
    </row>
    <row r="128" spans="2:6">
      <c r="B128" s="20" t="s">
        <v>76</v>
      </c>
      <c r="C128" s="17"/>
      <c r="D128" s="18">
        <f>SUM(D129:D130)</f>
        <v>6897661</v>
      </c>
      <c r="E128" s="18">
        <f>SUM(E129:E130)</f>
        <v>1179284.28</v>
      </c>
      <c r="F128" s="19">
        <f>+E128/D128</f>
        <v>0.17096872113604888</v>
      </c>
    </row>
    <row r="129" spans="2:7" hidden="1">
      <c r="B129" s="6" t="s">
        <v>37</v>
      </c>
      <c r="C129" s="1" t="s">
        <v>29</v>
      </c>
      <c r="D129" s="7">
        <v>0</v>
      </c>
      <c r="E129" s="7">
        <v>0</v>
      </c>
      <c r="F129" s="8">
        <v>0</v>
      </c>
      <c r="G129" s="7"/>
    </row>
    <row r="130" spans="2:7">
      <c r="B130" s="6" t="s">
        <v>73</v>
      </c>
      <c r="C130" s="1" t="s">
        <v>72</v>
      </c>
      <c r="D130" s="7">
        <v>6897661</v>
      </c>
      <c r="E130" s="7">
        <v>1179284.28</v>
      </c>
      <c r="F130" s="8">
        <f>+E130/D130</f>
        <v>0.17096872113604888</v>
      </c>
      <c r="G130" s="7"/>
    </row>
    <row r="131" spans="2:7">
      <c r="B131" s="6"/>
      <c r="D131" s="7"/>
      <c r="E131" s="7"/>
    </row>
    <row r="132" spans="2:7">
      <c r="B132" s="18" t="s">
        <v>79</v>
      </c>
      <c r="C132" s="17"/>
      <c r="D132" s="18">
        <f>+D133+D134+D135+D136</f>
        <v>6426938387</v>
      </c>
      <c r="E132" s="18">
        <f>SUM(E133:E136)</f>
        <v>4015483600.4100003</v>
      </c>
      <c r="F132" s="19">
        <f>+E132/D132</f>
        <v>0.62478949674268913</v>
      </c>
    </row>
    <row r="133" spans="2:7">
      <c r="B133" s="6" t="s">
        <v>38</v>
      </c>
      <c r="C133" s="1" t="s">
        <v>30</v>
      </c>
      <c r="D133" s="7">
        <v>33000</v>
      </c>
      <c r="E133" s="7">
        <v>31831.23</v>
      </c>
      <c r="F133" s="8">
        <f>+E133/D133</f>
        <v>0.96458272727272731</v>
      </c>
    </row>
    <row r="134" spans="2:7">
      <c r="B134" s="6" t="s">
        <v>92</v>
      </c>
      <c r="C134" s="1" t="s">
        <v>81</v>
      </c>
      <c r="D134" s="7">
        <v>26145581</v>
      </c>
      <c r="E134" s="7">
        <v>16517847.17</v>
      </c>
      <c r="F134" s="8">
        <f>+E134/D134</f>
        <v>0.63176439529112016</v>
      </c>
    </row>
    <row r="135" spans="2:7">
      <c r="B135" s="6" t="s">
        <v>83</v>
      </c>
      <c r="C135" s="1" t="s">
        <v>82</v>
      </c>
      <c r="D135" s="7">
        <v>1714485065</v>
      </c>
      <c r="E135" s="7">
        <v>1121153360.71</v>
      </c>
      <c r="F135" s="8">
        <f>+E135/D135</f>
        <v>0.65393008291384569</v>
      </c>
    </row>
    <row r="136" spans="2:7">
      <c r="B136" s="6" t="s">
        <v>84</v>
      </c>
      <c r="C136" s="1" t="s">
        <v>93</v>
      </c>
      <c r="D136" s="7">
        <v>4686274741</v>
      </c>
      <c r="E136" s="7">
        <v>2877780561.3000002</v>
      </c>
      <c r="F136" s="8">
        <f>+E136/D136</f>
        <v>0.61408703508619156</v>
      </c>
    </row>
    <row r="137" spans="2:7">
      <c r="B137" s="6"/>
      <c r="D137" s="7"/>
      <c r="E137" s="7"/>
    </row>
    <row r="138" spans="2:7">
      <c r="B138" s="18" t="s">
        <v>143</v>
      </c>
      <c r="C138" s="17"/>
      <c r="D138" s="18">
        <f>+D139+D140+D141+D142</f>
        <v>5283974108</v>
      </c>
      <c r="E138" s="18">
        <f>SUM(E139:E142)</f>
        <v>4275868061.52</v>
      </c>
      <c r="F138" s="19">
        <f>+E138/D138</f>
        <v>0.80921442348596762</v>
      </c>
    </row>
    <row r="139" spans="2:7">
      <c r="B139" s="6" t="s">
        <v>38</v>
      </c>
      <c r="C139" s="1" t="s">
        <v>30</v>
      </c>
      <c r="D139" s="7">
        <v>1510000</v>
      </c>
      <c r="E139" s="7">
        <v>1457931.68</v>
      </c>
      <c r="F139" s="8">
        <f>+E139/D139</f>
        <v>0.96551766887417212</v>
      </c>
    </row>
    <row r="140" spans="2:7">
      <c r="B140" s="6" t="s">
        <v>85</v>
      </c>
      <c r="C140" s="1" t="s">
        <v>88</v>
      </c>
      <c r="D140" s="7">
        <v>53700038</v>
      </c>
      <c r="E140" s="7">
        <v>32648563</v>
      </c>
      <c r="F140" s="8">
        <f>+E140/D140</f>
        <v>0.60798025878491935</v>
      </c>
    </row>
    <row r="141" spans="2:7">
      <c r="B141" s="6" t="s">
        <v>86</v>
      </c>
      <c r="C141" s="1" t="s">
        <v>89</v>
      </c>
      <c r="D141" s="7">
        <v>2293215923</v>
      </c>
      <c r="E141" s="7">
        <v>1811449728.6600001</v>
      </c>
      <c r="F141" s="8">
        <f>+E141/D141</f>
        <v>0.78991677604010779</v>
      </c>
    </row>
    <row r="142" spans="2:7">
      <c r="B142" s="6" t="s">
        <v>87</v>
      </c>
      <c r="C142" s="1" t="s">
        <v>90</v>
      </c>
      <c r="D142" s="7">
        <v>2935548147</v>
      </c>
      <c r="E142" s="7">
        <v>2430311838.1799998</v>
      </c>
      <c r="F142" s="8">
        <f>+E142/D142</f>
        <v>0.8278903007139129</v>
      </c>
    </row>
    <row r="143" spans="2:7">
      <c r="B143" s="3"/>
    </row>
    <row r="144" spans="2:7">
      <c r="B144" s="43" t="s">
        <v>96</v>
      </c>
      <c r="C144" s="43"/>
      <c r="D144" s="18">
        <f>+D138+D132+D128+D122+D108+D98+D66+D60+D49+D47</f>
        <v>12469542462</v>
      </c>
      <c r="E144" s="18">
        <f>+E138+E132+E128+E122+E108+E98+E66+E60+E49+E47</f>
        <v>8546471417.8600006</v>
      </c>
      <c r="F144" s="19">
        <f>+E144/D144</f>
        <v>0.68538773125836283</v>
      </c>
    </row>
    <row r="145" spans="2:6">
      <c r="B145" s="3"/>
      <c r="D145" s="27"/>
      <c r="E145" s="27"/>
      <c r="F145" s="28"/>
    </row>
    <row r="146" spans="2:6">
      <c r="B146" s="3"/>
      <c r="D146" s="29"/>
      <c r="E146" s="29"/>
      <c r="F146" s="24"/>
    </row>
    <row r="147" spans="2:6">
      <c r="B147" s="3"/>
      <c r="D147" s="7"/>
      <c r="E147" s="7"/>
    </row>
    <row r="148" spans="2:6">
      <c r="B148" s="3"/>
      <c r="D148" s="7"/>
    </row>
    <row r="149" spans="2:6">
      <c r="B149" s="3"/>
      <c r="D149" s="7"/>
    </row>
    <row r="150" spans="2:6">
      <c r="B150" s="3"/>
    </row>
    <row r="151" spans="2:6">
      <c r="B151" s="3"/>
      <c r="D151" s="7"/>
    </row>
    <row r="152" spans="2:6">
      <c r="B152" s="3"/>
    </row>
    <row r="153" spans="2:6">
      <c r="B153" s="3"/>
    </row>
    <row r="154" spans="2:6">
      <c r="B154" s="3"/>
    </row>
    <row r="155" spans="2:6">
      <c r="B155" s="3"/>
    </row>
    <row r="156" spans="2:6">
      <c r="B156" s="3"/>
    </row>
    <row r="157" spans="2:6">
      <c r="B157" s="3"/>
    </row>
    <row r="158" spans="2:6">
      <c r="B158" s="3"/>
    </row>
    <row r="159" spans="2:6">
      <c r="B159" s="3"/>
    </row>
    <row r="160" spans="2: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63"/>
  <sheetViews>
    <sheetView tabSelected="1" topLeftCell="A19" workbookViewId="0">
      <selection activeCell="D32" sqref="D32"/>
    </sheetView>
  </sheetViews>
  <sheetFormatPr baseColWidth="10" defaultRowHeight="11.25"/>
  <cols>
    <col min="1" max="1" width="2.28515625" style="1" customWidth="1"/>
    <col min="2" max="2" width="1.5703125" style="1" customWidth="1"/>
    <col min="3" max="3" width="4.28515625" style="1" customWidth="1"/>
    <col min="4" max="4" width="48.42578125" style="1" bestFit="1" customWidth="1"/>
    <col min="5" max="5" width="13" style="1" customWidth="1"/>
    <col min="6" max="6" width="12.85546875" style="1" customWidth="1"/>
    <col min="7" max="16384" width="11.42578125" style="1"/>
  </cols>
  <sheetData>
    <row r="1" spans="2:7">
      <c r="B1" s="44" t="s">
        <v>94</v>
      </c>
      <c r="C1" s="44"/>
      <c r="D1" s="44"/>
      <c r="E1" s="44"/>
      <c r="F1" s="44"/>
      <c r="G1" s="44"/>
    </row>
    <row r="2" spans="2:7">
      <c r="B2" s="44" t="s">
        <v>170</v>
      </c>
      <c r="C2" s="44"/>
      <c r="D2" s="44"/>
      <c r="E2" s="44"/>
      <c r="F2" s="44"/>
      <c r="G2" s="44"/>
    </row>
    <row r="3" spans="2:7">
      <c r="B3" s="44" t="s">
        <v>97</v>
      </c>
      <c r="C3" s="44"/>
      <c r="D3" s="44"/>
      <c r="E3" s="44"/>
      <c r="F3" s="44"/>
      <c r="G3" s="44"/>
    </row>
    <row r="5" spans="2:7">
      <c r="B5" s="2" t="s">
        <v>183</v>
      </c>
    </row>
    <row r="6" spans="2:7">
      <c r="B6" s="47" t="s">
        <v>184</v>
      </c>
      <c r="C6" s="47"/>
      <c r="D6" s="47"/>
      <c r="E6" s="47" t="s">
        <v>106</v>
      </c>
      <c r="F6" s="47" t="s">
        <v>194</v>
      </c>
      <c r="G6" s="47" t="s">
        <v>3</v>
      </c>
    </row>
    <row r="7" spans="2:7">
      <c r="B7" s="50"/>
      <c r="C7" s="50"/>
      <c r="D7" s="50"/>
      <c r="E7" s="48"/>
      <c r="F7" s="48"/>
      <c r="G7" s="48"/>
    </row>
    <row r="8" spans="2:7">
      <c r="B8" s="51"/>
      <c r="C8" s="51"/>
      <c r="D8" s="51"/>
      <c r="E8" s="49"/>
      <c r="F8" s="49"/>
      <c r="G8" s="49"/>
    </row>
    <row r="9" spans="2:7">
      <c r="C9" s="3"/>
    </row>
    <row r="10" spans="2:7">
      <c r="B10" s="15" t="s">
        <v>91</v>
      </c>
      <c r="C10" s="16"/>
      <c r="D10" s="17"/>
      <c r="E10" s="18"/>
      <c r="F10" s="18">
        <f>+'[1]RESULTADOS OPERATIVOS en soles'!E47/1000</f>
        <v>0</v>
      </c>
      <c r="G10" s="19">
        <v>0</v>
      </c>
    </row>
    <row r="11" spans="2:7">
      <c r="B11" s="22"/>
      <c r="C11" s="23"/>
      <c r="D11" s="24"/>
      <c r="E11" s="25"/>
      <c r="F11" s="25"/>
      <c r="G11" s="26"/>
    </row>
    <row r="12" spans="2:7">
      <c r="B12" s="20" t="s">
        <v>55</v>
      </c>
      <c r="C12" s="20"/>
      <c r="D12" s="20"/>
      <c r="E12" s="18">
        <f>SUM(E13:E22)</f>
        <v>22602300</v>
      </c>
      <c r="F12" s="18">
        <f>SUM(F13:F22)</f>
        <v>10840958.849999998</v>
      </c>
      <c r="G12" s="19">
        <f t="shared" ref="G12:G20" si="0">+F12/E12</f>
        <v>0.47963963180738234</v>
      </c>
    </row>
    <row r="13" spans="2:7">
      <c r="C13" s="6" t="s">
        <v>32</v>
      </c>
      <c r="D13" s="1" t="s">
        <v>54</v>
      </c>
      <c r="E13" s="7">
        <v>6420638</v>
      </c>
      <c r="F13" s="52">
        <f>529165.03+527743.55+529291.91+523043.5+524682.15+524156.24</f>
        <v>3158082.38</v>
      </c>
      <c r="G13" s="56">
        <f t="shared" si="0"/>
        <v>0.49186426333333227</v>
      </c>
    </row>
    <row r="14" spans="2:7">
      <c r="C14" s="6" t="s">
        <v>171</v>
      </c>
      <c r="D14" s="1" t="s">
        <v>172</v>
      </c>
      <c r="E14" s="7">
        <v>11052146</v>
      </c>
      <c r="F14" s="52">
        <f>853000.16+856777.85+843284.86+844005.5+882481.49+892550</f>
        <v>5172099.8600000003</v>
      </c>
      <c r="G14" s="56">
        <f t="shared" si="0"/>
        <v>0.46797245168494883</v>
      </c>
    </row>
    <row r="15" spans="2:7">
      <c r="C15" s="6" t="s">
        <v>173</v>
      </c>
      <c r="D15" s="1" t="s">
        <v>174</v>
      </c>
      <c r="E15" s="7">
        <v>1519718</v>
      </c>
      <c r="F15" s="52">
        <f>126024.46+124432.34+125165.88+125165.88+125165.88+124282.42</f>
        <v>750236.86</v>
      </c>
      <c r="G15" s="56"/>
    </row>
    <row r="16" spans="2:7">
      <c r="C16" s="6" t="s">
        <v>34</v>
      </c>
      <c r="D16" s="1" t="s">
        <v>26</v>
      </c>
      <c r="E16" s="7">
        <v>1009219</v>
      </c>
      <c r="F16" s="52">
        <f>108054+100423.37+91069.42+100006.61+74398.85+73859.93</f>
        <v>547812.17999999993</v>
      </c>
      <c r="G16" s="56">
        <f t="shared" si="0"/>
        <v>0.54280803274611356</v>
      </c>
    </row>
    <row r="17" spans="2:8">
      <c r="C17" s="6" t="s">
        <v>35</v>
      </c>
      <c r="D17" s="1" t="s">
        <v>27</v>
      </c>
      <c r="E17" s="7">
        <v>1531696</v>
      </c>
      <c r="F17" s="52">
        <f>124267.22+123976.69+122853.42+121965.5+121926.02+123319.27</f>
        <v>738308.12</v>
      </c>
      <c r="G17" s="56">
        <f t="shared" si="0"/>
        <v>0.4820200091924246</v>
      </c>
    </row>
    <row r="18" spans="2:8">
      <c r="C18" s="6" t="s">
        <v>36</v>
      </c>
      <c r="D18" s="1" t="s">
        <v>28</v>
      </c>
      <c r="E18" s="7">
        <v>200936</v>
      </c>
      <c r="F18" s="52">
        <f>21868.1+6887.59+31047.33+11209.53+17687.4+27959.3</f>
        <v>116659.25000000001</v>
      </c>
      <c r="G18" s="56">
        <f t="shared" si="0"/>
        <v>0.58057913962654784</v>
      </c>
    </row>
    <row r="19" spans="2:8">
      <c r="C19" s="6" t="s">
        <v>109</v>
      </c>
      <c r="D19" s="1" t="s">
        <v>110</v>
      </c>
      <c r="E19" s="7">
        <v>813867</v>
      </c>
      <c r="F19" s="52">
        <v>347800</v>
      </c>
      <c r="G19" s="56">
        <f t="shared" si="0"/>
        <v>0.42734255105563929</v>
      </c>
    </row>
    <row r="20" spans="2:8">
      <c r="C20" s="6" t="s">
        <v>175</v>
      </c>
      <c r="D20" s="1" t="s">
        <v>176</v>
      </c>
      <c r="E20" s="7">
        <v>41427</v>
      </c>
      <c r="F20" s="52"/>
      <c r="G20" s="56">
        <f t="shared" si="0"/>
        <v>0</v>
      </c>
    </row>
    <row r="21" spans="2:8">
      <c r="C21" s="6" t="s">
        <v>38</v>
      </c>
      <c r="D21" s="1" t="s">
        <v>30</v>
      </c>
      <c r="E21" s="7">
        <v>12653</v>
      </c>
      <c r="F21" s="52">
        <f>500+4730+4730.2</f>
        <v>9960.2000000000007</v>
      </c>
      <c r="G21" s="56">
        <f>+F21/E21</f>
        <v>0.78718090571405996</v>
      </c>
    </row>
    <row r="22" spans="2:8">
      <c r="C22" s="6" t="s">
        <v>164</v>
      </c>
      <c r="D22" s="1" t="s">
        <v>165</v>
      </c>
      <c r="E22" s="7"/>
      <c r="F22" s="52"/>
      <c r="G22" s="8"/>
    </row>
    <row r="23" spans="2:8">
      <c r="C23" s="6"/>
      <c r="E23" s="7"/>
      <c r="F23" s="52"/>
    </row>
    <row r="24" spans="2:8">
      <c r="B24" s="20" t="s">
        <v>56</v>
      </c>
      <c r="C24" s="16"/>
      <c r="D24" s="17"/>
      <c r="E24" s="18">
        <f>SUM(E25:E26)</f>
        <v>4034159</v>
      </c>
      <c r="F24" s="53">
        <f>SUM(F25:F26)</f>
        <v>1988417.76</v>
      </c>
      <c r="G24" s="19">
        <f>+F24/E24</f>
        <v>0.49289523789221001</v>
      </c>
    </row>
    <row r="25" spans="2:8">
      <c r="C25" s="6" t="s">
        <v>39</v>
      </c>
      <c r="D25" s="1" t="s">
        <v>31</v>
      </c>
      <c r="E25" s="7">
        <v>3876409</v>
      </c>
      <c r="F25" s="52">
        <f>318083.88+321667.49+317524.85+324130.04+320894+320267.5</f>
        <v>1922567.76</v>
      </c>
      <c r="G25" s="8">
        <f>+F25/E25</f>
        <v>0.49596617900742673</v>
      </c>
    </row>
    <row r="26" spans="2:8">
      <c r="C26" s="14" t="s">
        <v>177</v>
      </c>
      <c r="D26" s="1" t="s">
        <v>110</v>
      </c>
      <c r="E26" s="7">
        <v>157750</v>
      </c>
      <c r="F26" s="52">
        <v>65850</v>
      </c>
    </row>
    <row r="27" spans="2:8">
      <c r="B27" s="20" t="s">
        <v>57</v>
      </c>
      <c r="C27" s="16"/>
      <c r="D27" s="20"/>
      <c r="E27" s="18">
        <f>SUM(E28:E59)</f>
        <v>14135719</v>
      </c>
      <c r="F27" s="53">
        <f>SUM(F28:F59)</f>
        <v>6509169.709999999</v>
      </c>
      <c r="G27" s="19">
        <f t="shared" ref="G27:G56" si="1">+F27/E27</f>
        <v>0.46047673344383822</v>
      </c>
    </row>
    <row r="28" spans="2:8">
      <c r="C28" s="6" t="s">
        <v>47</v>
      </c>
      <c r="D28" s="1" t="s">
        <v>40</v>
      </c>
      <c r="E28" s="7">
        <v>1146566</v>
      </c>
      <c r="F28" s="52">
        <f>24722.6+43900.28+189432.82+47163.68+290632.86+61779.21</f>
        <v>657631.44999999995</v>
      </c>
      <c r="G28" s="8">
        <f t="shared" si="1"/>
        <v>0.57356615319135573</v>
      </c>
      <c r="H28" s="7"/>
    </row>
    <row r="29" spans="2:8">
      <c r="C29" s="6" t="s">
        <v>48</v>
      </c>
      <c r="D29" s="1" t="s">
        <v>41</v>
      </c>
      <c r="E29" s="7">
        <v>75611</v>
      </c>
      <c r="F29" s="52">
        <f>300+5062.8+3100.5+469+6861+2208</f>
        <v>18001.3</v>
      </c>
      <c r="G29" s="8">
        <f t="shared" si="1"/>
        <v>0.23807779291372946</v>
      </c>
    </row>
    <row r="30" spans="2:8">
      <c r="C30" s="6" t="s">
        <v>59</v>
      </c>
      <c r="D30" s="1" t="s">
        <v>58</v>
      </c>
      <c r="E30" s="7">
        <v>648735</v>
      </c>
      <c r="F30" s="52">
        <f>85753.21+16108.71+52845.83+94238.35+32134.01+51527.11</f>
        <v>332607.21999999997</v>
      </c>
      <c r="G30" s="8">
        <f t="shared" si="1"/>
        <v>0.51270121081797648</v>
      </c>
    </row>
    <row r="31" spans="2:8">
      <c r="C31" s="6" t="s">
        <v>49</v>
      </c>
      <c r="D31" s="1" t="s">
        <v>136</v>
      </c>
      <c r="E31" s="7">
        <v>1222708</v>
      </c>
      <c r="F31" s="52">
        <f>56229.14+38083.03+35981.96+95963.6+120511.97+139469.47</f>
        <v>486239.17000000004</v>
      </c>
      <c r="G31" s="8">
        <f t="shared" si="1"/>
        <v>0.3976739908465472</v>
      </c>
    </row>
    <row r="32" spans="2:8">
      <c r="C32" s="6" t="s">
        <v>50</v>
      </c>
      <c r="D32" s="1" t="s">
        <v>43</v>
      </c>
      <c r="E32" s="7">
        <v>1725154</v>
      </c>
      <c r="F32" s="52">
        <f>53672.89+56577.98+121167.08+124201.64+127883.18+150871.76</f>
        <v>634374.53</v>
      </c>
      <c r="G32" s="8">
        <f t="shared" si="1"/>
        <v>0.36772052234177355</v>
      </c>
    </row>
    <row r="33" spans="3:7">
      <c r="C33" s="6" t="s">
        <v>178</v>
      </c>
      <c r="D33" s="1" t="s">
        <v>190</v>
      </c>
      <c r="E33" s="7">
        <v>1427</v>
      </c>
      <c r="F33" s="52">
        <f>78.59+586.5+342</f>
        <v>1007.09</v>
      </c>
      <c r="G33" s="8">
        <f t="shared" si="1"/>
        <v>0.70573931324456907</v>
      </c>
    </row>
    <row r="34" spans="3:7">
      <c r="C34" s="6" t="s">
        <v>51</v>
      </c>
      <c r="D34" s="1" t="s">
        <v>44</v>
      </c>
      <c r="E34" s="7">
        <v>1571231</v>
      </c>
      <c r="F34" s="52">
        <f>54046.59+31744.94+191660.59+132075.01+153939.77+132626.38</f>
        <v>696093.28</v>
      </c>
      <c r="G34" s="8">
        <f t="shared" si="1"/>
        <v>0.44302415112736448</v>
      </c>
    </row>
    <row r="35" spans="3:7">
      <c r="C35" s="6" t="s">
        <v>179</v>
      </c>
      <c r="D35" s="1" t="s">
        <v>198</v>
      </c>
      <c r="E35" s="7">
        <v>12552</v>
      </c>
      <c r="F35" s="52">
        <f>275+117+52224+410</f>
        <v>53026</v>
      </c>
      <c r="G35" s="8">
        <f t="shared" si="1"/>
        <v>4.2245060548119824</v>
      </c>
    </row>
    <row r="36" spans="3:7">
      <c r="C36" s="6" t="s">
        <v>52</v>
      </c>
      <c r="D36" s="1" t="s">
        <v>45</v>
      </c>
      <c r="E36" s="7">
        <v>215561</v>
      </c>
      <c r="F36" s="52">
        <f>21896.21+14987.96+25402.85+2783.6+2879.08+24821.62</f>
        <v>92771.319999999992</v>
      </c>
      <c r="G36" s="8">
        <f t="shared" si="1"/>
        <v>0.4303715421620794</v>
      </c>
    </row>
    <row r="37" spans="3:7">
      <c r="C37" s="6" t="s">
        <v>64</v>
      </c>
      <c r="D37" s="1" t="s">
        <v>62</v>
      </c>
      <c r="E37" s="7">
        <v>144343</v>
      </c>
      <c r="F37" s="52">
        <f>4000+6444.44+2700+4487.22+17366.65</f>
        <v>34998.31</v>
      </c>
      <c r="G37" s="8">
        <f t="shared" si="1"/>
        <v>0.24246627824002548</v>
      </c>
    </row>
    <row r="38" spans="3:7">
      <c r="C38" s="6" t="s">
        <v>53</v>
      </c>
      <c r="D38" s="1" t="s">
        <v>180</v>
      </c>
      <c r="E38" s="7">
        <v>3873132</v>
      </c>
      <c r="F38" s="52">
        <f>143881.72+236695.57+357565.86+332677.83+224974.2+326094.43</f>
        <v>1621889.6099999999</v>
      </c>
      <c r="G38" s="8">
        <f t="shared" si="1"/>
        <v>0.41875402387525129</v>
      </c>
    </row>
    <row r="39" spans="3:7">
      <c r="C39" s="6" t="s">
        <v>111</v>
      </c>
      <c r="D39" s="1" t="s">
        <v>125</v>
      </c>
      <c r="E39" s="7">
        <v>24884</v>
      </c>
      <c r="F39" s="52">
        <f>672.8+174.48+523.46+470.17+236.23+133.69</f>
        <v>2210.83</v>
      </c>
      <c r="G39" s="8">
        <f t="shared" si="1"/>
        <v>8.8845442854846482E-2</v>
      </c>
    </row>
    <row r="40" spans="3:7">
      <c r="C40" s="6" t="s">
        <v>181</v>
      </c>
      <c r="E40" s="7">
        <v>3068</v>
      </c>
      <c r="F40" s="52"/>
      <c r="G40" s="8">
        <f t="shared" si="1"/>
        <v>0</v>
      </c>
    </row>
    <row r="41" spans="3:7">
      <c r="C41" s="6" t="s">
        <v>182</v>
      </c>
      <c r="E41" s="7">
        <v>1434</v>
      </c>
      <c r="F41" s="52"/>
      <c r="G41" s="8">
        <f t="shared" si="1"/>
        <v>0</v>
      </c>
    </row>
    <row r="42" spans="3:7">
      <c r="C42" s="6" t="s">
        <v>147</v>
      </c>
      <c r="D42" s="1" t="s">
        <v>148</v>
      </c>
      <c r="E42" s="7">
        <v>90017</v>
      </c>
      <c r="F42" s="52">
        <f>448+1133+912.4+35253.7+18.3+5320.46</f>
        <v>43085.86</v>
      </c>
      <c r="G42" s="8">
        <v>0</v>
      </c>
    </row>
    <row r="43" spans="3:7">
      <c r="C43" s="6" t="s">
        <v>112</v>
      </c>
      <c r="D43" s="1" t="s">
        <v>142</v>
      </c>
      <c r="E43" s="7">
        <v>397556</v>
      </c>
      <c r="F43" s="52">
        <f>8007.07+7760.67+19865.16+14640.9+29427.59+56187.85</f>
        <v>135889.24</v>
      </c>
      <c r="G43" s="8">
        <f t="shared" si="1"/>
        <v>0.34181156868466328</v>
      </c>
    </row>
    <row r="44" spans="3:7">
      <c r="C44" s="6" t="s">
        <v>113</v>
      </c>
      <c r="D44" s="1" t="s">
        <v>126</v>
      </c>
      <c r="E44" s="7">
        <v>5385</v>
      </c>
      <c r="F44" s="52">
        <f>86+217.5+25+2450</f>
        <v>2778.5</v>
      </c>
      <c r="G44" s="8">
        <f t="shared" si="1"/>
        <v>0.51597028783658305</v>
      </c>
    </row>
    <row r="45" spans="3:7">
      <c r="C45" s="6" t="s">
        <v>149</v>
      </c>
      <c r="D45" s="1" t="s">
        <v>150</v>
      </c>
      <c r="E45" s="7">
        <v>45425</v>
      </c>
      <c r="F45" s="52">
        <f>516.4+1499.08+1557.6+8194.12+6406.5+2969.5</f>
        <v>21143.200000000001</v>
      </c>
      <c r="G45" s="8">
        <f t="shared" si="1"/>
        <v>0.46545294441386903</v>
      </c>
    </row>
    <row r="46" spans="3:7">
      <c r="C46" s="6" t="s">
        <v>151</v>
      </c>
      <c r="D46" s="1" t="s">
        <v>152</v>
      </c>
      <c r="E46" s="7">
        <v>3655</v>
      </c>
      <c r="F46" s="52"/>
      <c r="G46" s="8">
        <f t="shared" si="1"/>
        <v>0</v>
      </c>
    </row>
    <row r="47" spans="3:7">
      <c r="C47" s="6" t="s">
        <v>114</v>
      </c>
      <c r="D47" s="1" t="s">
        <v>127</v>
      </c>
      <c r="E47" s="7">
        <v>367837</v>
      </c>
      <c r="F47" s="52">
        <f>27170.7+3258.5+55142.9+30489.81+29455.6+31315.8</f>
        <v>176833.31</v>
      </c>
      <c r="G47" s="8">
        <f t="shared" si="1"/>
        <v>0.48073823459847703</v>
      </c>
    </row>
    <row r="48" spans="3:7">
      <c r="C48" s="6" t="s">
        <v>115</v>
      </c>
      <c r="D48" s="1" t="s">
        <v>128</v>
      </c>
      <c r="E48" s="7">
        <v>277905</v>
      </c>
      <c r="F48" s="52">
        <f>18825.3+19347.21+19056.6+18958.1+19088.8+20136</f>
        <v>115412.01</v>
      </c>
      <c r="G48" s="8">
        <f t="shared" si="1"/>
        <v>0.4152930317914395</v>
      </c>
    </row>
    <row r="49" spans="2:7">
      <c r="C49" s="6" t="s">
        <v>116</v>
      </c>
      <c r="D49" s="1" t="s">
        <v>129</v>
      </c>
      <c r="E49" s="7">
        <v>643773</v>
      </c>
      <c r="F49" s="52">
        <f>75523.58+52105.62+49169.54+43705.94+42349.97+66712.25</f>
        <v>329566.90000000002</v>
      </c>
      <c r="G49" s="8">
        <f t="shared" si="1"/>
        <v>0.511930292199269</v>
      </c>
    </row>
    <row r="50" spans="2:7">
      <c r="C50" s="6" t="s">
        <v>117</v>
      </c>
      <c r="D50" s="1" t="s">
        <v>130</v>
      </c>
      <c r="E50" s="7">
        <v>61659</v>
      </c>
      <c r="F50" s="52">
        <f>4639.76+4933.15+4819.48+3255.45+4696.58+4741.83</f>
        <v>27086.25</v>
      </c>
      <c r="G50" s="8">
        <f t="shared" si="1"/>
        <v>0.43929110105580693</v>
      </c>
    </row>
    <row r="51" spans="2:7">
      <c r="C51" s="6" t="s">
        <v>118</v>
      </c>
      <c r="D51" s="1" t="s">
        <v>131</v>
      </c>
      <c r="E51" s="7">
        <v>4750</v>
      </c>
      <c r="F51" s="52">
        <f>152+1001.08+207</f>
        <v>1360.08</v>
      </c>
      <c r="G51" s="8">
        <f t="shared" si="1"/>
        <v>0.28633263157894734</v>
      </c>
    </row>
    <row r="52" spans="2:7">
      <c r="C52" s="6" t="s">
        <v>119</v>
      </c>
      <c r="D52" s="1" t="s">
        <v>132</v>
      </c>
      <c r="E52" s="7">
        <v>11168</v>
      </c>
      <c r="F52" s="52">
        <f>400+2000+1228+528+728</f>
        <v>4884</v>
      </c>
      <c r="G52" s="8">
        <f t="shared" si="1"/>
        <v>0.43732091690544411</v>
      </c>
    </row>
    <row r="53" spans="2:7">
      <c r="C53" s="6" t="s">
        <v>120</v>
      </c>
      <c r="D53" s="1" t="s">
        <v>133</v>
      </c>
      <c r="E53" s="7">
        <v>6827</v>
      </c>
      <c r="F53" s="52">
        <f>179.48+211.37+359.66+219+273.93+378.49</f>
        <v>1621.93</v>
      </c>
      <c r="G53" s="8">
        <f t="shared" si="1"/>
        <v>0.23757580196279479</v>
      </c>
    </row>
    <row r="54" spans="2:7">
      <c r="C54" s="6" t="s">
        <v>121</v>
      </c>
      <c r="D54" s="1" t="s">
        <v>134</v>
      </c>
      <c r="E54" s="7">
        <v>231560</v>
      </c>
      <c r="F54" s="52">
        <f>4479.65+7351.99+7255.08+37778.64+13482.24+22899.75</f>
        <v>93247.35</v>
      </c>
      <c r="G54" s="8">
        <f t="shared" si="1"/>
        <v>0.40269195888754539</v>
      </c>
    </row>
    <row r="55" spans="2:7">
      <c r="C55" s="6" t="s">
        <v>175</v>
      </c>
      <c r="D55" s="1" t="s">
        <v>195</v>
      </c>
      <c r="E55" s="7">
        <v>2596</v>
      </c>
      <c r="F55" s="52"/>
      <c r="G55" s="8">
        <f t="shared" si="1"/>
        <v>0</v>
      </c>
    </row>
    <row r="56" spans="2:7">
      <c r="C56" s="6" t="s">
        <v>38</v>
      </c>
      <c r="D56" s="1" t="s">
        <v>30</v>
      </c>
      <c r="E56" s="7">
        <v>1284869</v>
      </c>
      <c r="F56" s="52">
        <f>230474.84+348006.82+163399.58+116286.16+40741.3+13070.39</f>
        <v>911979.09000000008</v>
      </c>
      <c r="G56" s="8">
        <f t="shared" si="1"/>
        <v>0.70978371335910517</v>
      </c>
    </row>
    <row r="57" spans="2:7">
      <c r="C57" s="6" t="s">
        <v>122</v>
      </c>
      <c r="D57" s="1" t="s">
        <v>137</v>
      </c>
      <c r="E57" s="7"/>
      <c r="F57" s="52"/>
      <c r="G57" s="8"/>
    </row>
    <row r="58" spans="2:7">
      <c r="C58" s="6" t="s">
        <v>123</v>
      </c>
      <c r="D58" s="1" t="s">
        <v>138</v>
      </c>
      <c r="E58" s="7">
        <v>34331</v>
      </c>
      <c r="F58" s="52">
        <f>1680+11751.88</f>
        <v>13431.88</v>
      </c>
      <c r="G58" s="8"/>
    </row>
    <row r="59" spans="2:7">
      <c r="C59" s="6" t="s">
        <v>124</v>
      </c>
      <c r="D59" s="1" t="s">
        <v>139</v>
      </c>
      <c r="E59" s="7"/>
      <c r="F59" s="52"/>
      <c r="G59" s="8"/>
    </row>
    <row r="60" spans="2:7">
      <c r="C60" s="6"/>
      <c r="E60" s="7"/>
      <c r="F60" s="52"/>
    </row>
    <row r="61" spans="2:7">
      <c r="B61" s="20" t="s">
        <v>66</v>
      </c>
      <c r="C61" s="17"/>
      <c r="D61" s="17"/>
      <c r="E61" s="18">
        <f>SUM(E62:E71)</f>
        <v>7584980</v>
      </c>
      <c r="F61" s="53">
        <f>SUM(F62:F71)</f>
        <v>3655459.58</v>
      </c>
      <c r="G61" s="19">
        <f t="shared" ref="G61:G70" si="2">+F61/E61</f>
        <v>0.48193397741325622</v>
      </c>
    </row>
    <row r="62" spans="2:7">
      <c r="C62" s="6" t="s">
        <v>67</v>
      </c>
      <c r="D62" s="1" t="s">
        <v>69</v>
      </c>
      <c r="E62" s="7">
        <v>119007</v>
      </c>
      <c r="F62" s="52">
        <f>16624.74+12020.97+7001.5+6965.76</f>
        <v>42612.97</v>
      </c>
      <c r="G62" s="8">
        <f t="shared" si="2"/>
        <v>0.35807112186678097</v>
      </c>
    </row>
    <row r="63" spans="2:7">
      <c r="C63" s="6" t="s">
        <v>140</v>
      </c>
      <c r="D63" s="1" t="s">
        <v>141</v>
      </c>
      <c r="E63" s="7"/>
      <c r="F63" s="52"/>
      <c r="G63" s="8"/>
    </row>
    <row r="64" spans="2:7">
      <c r="C64" s="6" t="s">
        <v>53</v>
      </c>
      <c r="D64" s="1" t="s">
        <v>46</v>
      </c>
      <c r="E64" s="7"/>
      <c r="F64" s="52"/>
      <c r="G64" s="8"/>
    </row>
    <row r="65" spans="2:7">
      <c r="C65" s="6" t="s">
        <v>37</v>
      </c>
      <c r="D65" s="1" t="s">
        <v>29</v>
      </c>
      <c r="E65" s="7">
        <v>5022347</v>
      </c>
      <c r="F65" s="52">
        <f>155762.85+230245.08+327863.79+657341.82+452142.06+482740.34</f>
        <v>2306095.94</v>
      </c>
      <c r="G65" s="8">
        <f t="shared" si="2"/>
        <v>0.4591669870679983</v>
      </c>
    </row>
    <row r="66" spans="2:7">
      <c r="C66" s="6" t="s">
        <v>98</v>
      </c>
      <c r="D66" s="1" t="s">
        <v>99</v>
      </c>
      <c r="E66" s="7">
        <f>2000+6893+6665</f>
        <v>15558</v>
      </c>
      <c r="F66" s="52">
        <f>2608+3280+2730</f>
        <v>8618</v>
      </c>
      <c r="G66" s="8">
        <f t="shared" si="2"/>
        <v>0.55392724000514204</v>
      </c>
    </row>
    <row r="67" spans="2:7">
      <c r="C67" s="6" t="s">
        <v>185</v>
      </c>
      <c r="D67" s="1" t="s">
        <v>186</v>
      </c>
      <c r="E67" s="7">
        <v>1153290</v>
      </c>
      <c r="F67" s="52">
        <f>85247.22+88846.68+89299.77+102117.78+93578.5+99140.61</f>
        <v>558230.55999999994</v>
      </c>
      <c r="G67" s="8">
        <f t="shared" si="2"/>
        <v>0.48403312263177511</v>
      </c>
    </row>
    <row r="68" spans="2:7">
      <c r="C68" s="6" t="s">
        <v>187</v>
      </c>
      <c r="D68" s="1" t="s">
        <v>196</v>
      </c>
      <c r="E68" s="7">
        <v>4025</v>
      </c>
      <c r="F68" s="52">
        <v>1600</v>
      </c>
      <c r="G68" s="8"/>
    </row>
    <row r="69" spans="2:7">
      <c r="C69" s="6" t="s">
        <v>175</v>
      </c>
      <c r="D69" s="1" t="s">
        <v>197</v>
      </c>
      <c r="E69" s="7">
        <v>6320</v>
      </c>
      <c r="F69" s="52"/>
      <c r="G69" s="8"/>
    </row>
    <row r="70" spans="2:7">
      <c r="C70" s="6" t="s">
        <v>38</v>
      </c>
      <c r="D70" s="1" t="s">
        <v>30</v>
      </c>
      <c r="E70" s="7">
        <v>1264433</v>
      </c>
      <c r="F70" s="52">
        <f>216265.5+137825.13+235864.98+107205+33597.5+7544</f>
        <v>738302.11</v>
      </c>
      <c r="G70" s="8">
        <f t="shared" si="2"/>
        <v>0.583899747950267</v>
      </c>
    </row>
    <row r="71" spans="2:7">
      <c r="C71" s="6" t="s">
        <v>68</v>
      </c>
      <c r="D71" s="1" t="s">
        <v>70</v>
      </c>
      <c r="E71" s="7"/>
      <c r="F71" s="52"/>
      <c r="G71" s="8"/>
    </row>
    <row r="72" spans="2:7">
      <c r="C72" s="6"/>
      <c r="E72" s="7"/>
      <c r="F72" s="52"/>
    </row>
    <row r="73" spans="2:7">
      <c r="B73" s="20" t="s">
        <v>71</v>
      </c>
      <c r="C73" s="17"/>
      <c r="D73" s="17"/>
      <c r="E73" s="18">
        <f>SUM(E74:E95)</f>
        <v>10036045</v>
      </c>
      <c r="F73" s="53">
        <f>SUM(F74:F95)</f>
        <v>1507822.5899999999</v>
      </c>
      <c r="G73" s="19">
        <f t="shared" ref="G73:G90" si="3">+F73/E73</f>
        <v>0.1502407163379598</v>
      </c>
    </row>
    <row r="74" spans="2:7">
      <c r="B74" s="33"/>
      <c r="C74" s="6" t="s">
        <v>34</v>
      </c>
      <c r="D74" s="1" t="s">
        <v>26</v>
      </c>
      <c r="E74" s="29">
        <v>582087</v>
      </c>
      <c r="F74" s="54">
        <f>36960.16+4595.96+51657.12+41095.51</f>
        <v>134308.75</v>
      </c>
      <c r="G74" s="8">
        <f t="shared" si="3"/>
        <v>0.23073655656285058</v>
      </c>
    </row>
    <row r="75" spans="2:7">
      <c r="B75" s="33"/>
      <c r="C75" s="6" t="s">
        <v>35</v>
      </c>
      <c r="D75" s="1" t="s">
        <v>27</v>
      </c>
      <c r="E75" s="25">
        <v>84945</v>
      </c>
      <c r="F75" s="54">
        <f>2981.7+370.81+2700.77+3315.93</f>
        <v>9369.2099999999991</v>
      </c>
      <c r="G75" s="8">
        <f t="shared" si="3"/>
        <v>0.11029736888574959</v>
      </c>
    </row>
    <row r="76" spans="2:7">
      <c r="B76" s="33"/>
      <c r="C76" s="6" t="s">
        <v>36</v>
      </c>
      <c r="D76" s="1" t="s">
        <v>28</v>
      </c>
      <c r="E76" s="29">
        <v>370212</v>
      </c>
      <c r="F76" s="54">
        <f>27634+27074.55+19302.84+19302.84+18181.32</f>
        <v>111495.54999999999</v>
      </c>
      <c r="G76" s="8">
        <f t="shared" si="3"/>
        <v>0.30116676390824715</v>
      </c>
    </row>
    <row r="77" spans="2:7">
      <c r="B77" s="33"/>
      <c r="C77" s="30" t="s">
        <v>47</v>
      </c>
      <c r="D77" s="24" t="s">
        <v>40</v>
      </c>
      <c r="E77" s="29"/>
      <c r="F77" s="55"/>
      <c r="G77" s="8"/>
    </row>
    <row r="78" spans="2:7">
      <c r="B78" s="33"/>
      <c r="C78" s="30" t="s">
        <v>188</v>
      </c>
      <c r="D78" s="24" t="s">
        <v>189</v>
      </c>
      <c r="E78" s="29">
        <v>3183</v>
      </c>
      <c r="F78" s="55">
        <v>3182</v>
      </c>
      <c r="G78" s="8">
        <f t="shared" si="3"/>
        <v>0.99968583097706565</v>
      </c>
    </row>
    <row r="79" spans="2:7">
      <c r="B79" s="33"/>
      <c r="C79" s="6" t="s">
        <v>49</v>
      </c>
      <c r="D79" s="1" t="s">
        <v>42</v>
      </c>
      <c r="E79" s="29"/>
      <c r="F79" s="55"/>
      <c r="G79" s="8"/>
    </row>
    <row r="80" spans="2:7">
      <c r="B80" s="33"/>
      <c r="C80" s="6" t="s">
        <v>50</v>
      </c>
      <c r="D80" s="1" t="s">
        <v>43</v>
      </c>
      <c r="E80" s="29"/>
      <c r="F80" s="55"/>
      <c r="G80" s="8"/>
    </row>
    <row r="81" spans="2:7">
      <c r="B81" s="33"/>
      <c r="C81" s="6" t="s">
        <v>178</v>
      </c>
      <c r="D81" s="1" t="s">
        <v>190</v>
      </c>
      <c r="E81" s="29">
        <v>1155769</v>
      </c>
      <c r="F81" s="55">
        <f>136800.27+2789.61+181401.45+141973.81</f>
        <v>462965.13999999996</v>
      </c>
      <c r="G81" s="8">
        <f t="shared" si="3"/>
        <v>0.4005689199139274</v>
      </c>
    </row>
    <row r="82" spans="2:7">
      <c r="B82" s="33"/>
      <c r="C82" s="6" t="s">
        <v>51</v>
      </c>
      <c r="D82" s="1" t="s">
        <v>44</v>
      </c>
      <c r="E82" s="29">
        <v>19910</v>
      </c>
      <c r="F82" s="55"/>
      <c r="G82" s="8">
        <f t="shared" si="3"/>
        <v>0</v>
      </c>
    </row>
    <row r="83" spans="2:7">
      <c r="B83" s="33"/>
      <c r="C83" s="6" t="s">
        <v>52</v>
      </c>
      <c r="D83" s="1" t="s">
        <v>45</v>
      </c>
      <c r="E83" s="29"/>
      <c r="F83" s="55"/>
      <c r="G83" s="8"/>
    </row>
    <row r="84" spans="2:7">
      <c r="B84" s="33"/>
      <c r="C84" s="6" t="s">
        <v>64</v>
      </c>
      <c r="D84" s="1" t="s">
        <v>62</v>
      </c>
      <c r="E84" s="29">
        <v>332205</v>
      </c>
      <c r="F84" s="55">
        <f>20000+7800+43085+7850</f>
        <v>78735</v>
      </c>
      <c r="G84" s="8">
        <f t="shared" si="3"/>
        <v>0.23700726960762181</v>
      </c>
    </row>
    <row r="85" spans="2:7">
      <c r="B85" s="33"/>
      <c r="C85" s="6" t="s">
        <v>53</v>
      </c>
      <c r="D85" s="1" t="s">
        <v>46</v>
      </c>
      <c r="E85" s="29">
        <v>422656</v>
      </c>
      <c r="F85" s="55">
        <f>48916+6700+70933.9+34772.6</f>
        <v>161322.5</v>
      </c>
      <c r="G85" s="8">
        <f t="shared" si="3"/>
        <v>0.38168747160811628</v>
      </c>
    </row>
    <row r="86" spans="2:7">
      <c r="B86" s="33"/>
      <c r="C86" s="6" t="s">
        <v>37</v>
      </c>
      <c r="D86" s="1" t="s">
        <v>29</v>
      </c>
      <c r="E86" s="29"/>
      <c r="F86" s="55"/>
      <c r="G86" s="8"/>
    </row>
    <row r="87" spans="2:7">
      <c r="B87" s="33"/>
      <c r="C87" s="6" t="s">
        <v>112</v>
      </c>
      <c r="D87" s="1" t="s">
        <v>142</v>
      </c>
      <c r="E87" s="29"/>
      <c r="F87" s="55"/>
      <c r="G87" s="8"/>
    </row>
    <row r="88" spans="2:7">
      <c r="B88" s="33"/>
      <c r="C88" s="6" t="s">
        <v>162</v>
      </c>
      <c r="D88" s="1" t="s">
        <v>163</v>
      </c>
      <c r="E88" s="29">
        <v>5468487</v>
      </c>
      <c r="F88" s="55">
        <f>186470.96+238607.45+106349.53</f>
        <v>531427.94000000006</v>
      </c>
      <c r="G88" s="8">
        <f t="shared" si="3"/>
        <v>9.7180068271168984E-2</v>
      </c>
    </row>
    <row r="89" spans="2:7">
      <c r="B89" s="33"/>
      <c r="C89" s="6" t="s">
        <v>73</v>
      </c>
      <c r="D89" s="1" t="s">
        <v>72</v>
      </c>
      <c r="E89" s="29">
        <v>1301115</v>
      </c>
      <c r="F89" s="55">
        <f>1600+1960</f>
        <v>3560</v>
      </c>
      <c r="G89" s="8">
        <f t="shared" si="3"/>
        <v>2.7361147938498903E-3</v>
      </c>
    </row>
    <row r="90" spans="2:7">
      <c r="B90" s="33"/>
      <c r="C90" s="6" t="s">
        <v>113</v>
      </c>
      <c r="D90" s="1" t="s">
        <v>126</v>
      </c>
      <c r="E90" s="29">
        <v>259619</v>
      </c>
      <c r="F90" s="55"/>
      <c r="G90" s="8">
        <f t="shared" si="3"/>
        <v>0</v>
      </c>
    </row>
    <row r="91" spans="2:7">
      <c r="C91" s="6" t="s">
        <v>149</v>
      </c>
      <c r="D91" s="1" t="s">
        <v>150</v>
      </c>
      <c r="E91" s="7">
        <v>29257</v>
      </c>
      <c r="F91" s="52">
        <v>4856.5</v>
      </c>
    </row>
    <row r="92" spans="2:7">
      <c r="C92" s="6" t="s">
        <v>104</v>
      </c>
      <c r="D92" s="1" t="s">
        <v>105</v>
      </c>
      <c r="E92" s="7">
        <f>+'[1]RESULTADOS OPERATIVOS en soles'!D124/1000</f>
        <v>0</v>
      </c>
      <c r="F92" s="52">
        <f>+'[1]RESULTADOS OPERATIVOS en soles'!E124/1000</f>
        <v>0</v>
      </c>
      <c r="G92" s="8">
        <v>0</v>
      </c>
    </row>
    <row r="93" spans="2:7">
      <c r="C93" s="6" t="s">
        <v>75</v>
      </c>
      <c r="D93" s="1" t="s">
        <v>74</v>
      </c>
      <c r="E93" s="7">
        <f>+'[1]RESULTADOS OPERATIVOS en soles'!D125/1000</f>
        <v>0</v>
      </c>
      <c r="F93" s="52">
        <f>+'[1]RESULTADOS OPERATIVOS en soles'!E125/1000</f>
        <v>0</v>
      </c>
      <c r="G93" s="8">
        <v>1</v>
      </c>
    </row>
    <row r="94" spans="2:7">
      <c r="C94" s="6" t="s">
        <v>38</v>
      </c>
      <c r="D94" s="1" t="s">
        <v>30</v>
      </c>
      <c r="E94" s="7">
        <f>+'[1]RESULTADOS OPERATIVOS en soles'!D126/1000</f>
        <v>0</v>
      </c>
      <c r="F94" s="52">
        <f>+'[1]RESULTADOS OPERATIVOS en soles'!E126/1000</f>
        <v>0</v>
      </c>
      <c r="G94" s="8">
        <v>1</v>
      </c>
    </row>
    <row r="95" spans="2:7">
      <c r="C95" s="6" t="s">
        <v>191</v>
      </c>
      <c r="E95" s="7">
        <v>6600</v>
      </c>
      <c r="F95" s="52">
        <v>6600</v>
      </c>
      <c r="G95" s="8">
        <v>1</v>
      </c>
    </row>
    <row r="96" spans="2:7">
      <c r="C96" s="6"/>
      <c r="E96" s="7"/>
      <c r="F96" s="52"/>
    </row>
    <row r="97" spans="2:7">
      <c r="B97" s="20" t="s">
        <v>76</v>
      </c>
      <c r="C97" s="21"/>
      <c r="D97" s="17"/>
      <c r="E97" s="18">
        <f>SUM(E99:E101)</f>
        <v>2208279</v>
      </c>
      <c r="F97" s="53">
        <f>SUM(F99:F101)</f>
        <v>839199.47</v>
      </c>
      <c r="G97" s="19">
        <f>+F97/E97</f>
        <v>0.38002420436910372</v>
      </c>
    </row>
    <row r="98" spans="2:7">
      <c r="C98" s="6" t="s">
        <v>37</v>
      </c>
      <c r="D98" s="1" t="s">
        <v>29</v>
      </c>
      <c r="E98" s="7">
        <f>+'[1]RESULTADOS OPERATIVOS en soles'!D129/1000</f>
        <v>0</v>
      </c>
      <c r="F98" s="52">
        <f>+'[1]RESULTADOS OPERATIVOS en soles'!E129/1000</f>
        <v>0</v>
      </c>
      <c r="G98" s="8">
        <v>0</v>
      </c>
    </row>
    <row r="99" spans="2:7">
      <c r="C99" s="6" t="s">
        <v>73</v>
      </c>
      <c r="D99" s="1" t="s">
        <v>72</v>
      </c>
      <c r="E99" s="7">
        <v>1235035</v>
      </c>
      <c r="F99" s="52">
        <f>417409.41+203735.4+38210+50598</f>
        <v>709952.80999999994</v>
      </c>
      <c r="G99" s="8">
        <f>+F99/E99</f>
        <v>0.57484428376523733</v>
      </c>
    </row>
    <row r="100" spans="2:7">
      <c r="C100" s="6" t="s">
        <v>192</v>
      </c>
      <c r="D100" s="1" t="s">
        <v>193</v>
      </c>
      <c r="E100" s="7">
        <v>702694</v>
      </c>
      <c r="F100" s="52"/>
      <c r="G100" s="8"/>
    </row>
    <row r="101" spans="2:7">
      <c r="C101" s="6" t="s">
        <v>191</v>
      </c>
      <c r="D101" s="1" t="s">
        <v>30</v>
      </c>
      <c r="E101" s="7">
        <v>270550</v>
      </c>
      <c r="F101" s="52">
        <f>39636.16+9726.5+17050+62834</f>
        <v>129246.66</v>
      </c>
    </row>
    <row r="102" spans="2:7">
      <c r="B102" s="18" t="s">
        <v>79</v>
      </c>
      <c r="C102" s="17"/>
      <c r="D102" s="17"/>
      <c r="E102" s="18">
        <f>SUM(E103:E106)</f>
        <v>5542</v>
      </c>
      <c r="F102" s="53">
        <f>SUM(F103:F106)</f>
        <v>5541.1299999999992</v>
      </c>
      <c r="G102" s="19">
        <f>+F102/E102</f>
        <v>0.99984301696138567</v>
      </c>
    </row>
    <row r="103" spans="2:7">
      <c r="C103" s="6" t="s">
        <v>38</v>
      </c>
      <c r="D103" s="1" t="s">
        <v>30</v>
      </c>
      <c r="E103" s="7"/>
      <c r="F103" s="52"/>
      <c r="G103" s="8"/>
    </row>
    <row r="104" spans="2:7">
      <c r="C104" s="6" t="s">
        <v>92</v>
      </c>
      <c r="D104" s="1" t="s">
        <v>81</v>
      </c>
      <c r="E104" s="7">
        <v>5542</v>
      </c>
      <c r="F104" s="52">
        <f>1679+1345.52+1133.29+887.91+495.41</f>
        <v>5541.1299999999992</v>
      </c>
      <c r="G104" s="8">
        <f>+F104/E104</f>
        <v>0.99984301696138567</v>
      </c>
    </row>
    <row r="105" spans="2:7">
      <c r="C105" s="6" t="s">
        <v>83</v>
      </c>
      <c r="D105" s="1" t="s">
        <v>82</v>
      </c>
      <c r="E105" s="7"/>
      <c r="F105" s="52"/>
      <c r="G105" s="8"/>
    </row>
    <row r="106" spans="2:7">
      <c r="C106" s="6" t="s">
        <v>84</v>
      </c>
      <c r="D106" s="1" t="s">
        <v>93</v>
      </c>
      <c r="E106" s="7"/>
      <c r="F106" s="52"/>
      <c r="G106" s="8"/>
    </row>
    <row r="107" spans="2:7">
      <c r="C107" s="6"/>
      <c r="E107" s="7"/>
      <c r="F107" s="52"/>
    </row>
    <row r="108" spans="2:7">
      <c r="B108" s="18" t="s">
        <v>143</v>
      </c>
      <c r="C108" s="17"/>
      <c r="D108" s="17"/>
      <c r="E108" s="18">
        <f>SUM(E109:E112)</f>
        <v>111718</v>
      </c>
      <c r="F108" s="53">
        <f>SUM(F109:F112)</f>
        <v>111206.39999999999</v>
      </c>
      <c r="G108" s="19">
        <f>+F108/E108</f>
        <v>0.9954206126139028</v>
      </c>
    </row>
    <row r="109" spans="2:7">
      <c r="C109" s="6" t="s">
        <v>38</v>
      </c>
      <c r="D109" s="1" t="s">
        <v>30</v>
      </c>
      <c r="E109" s="7"/>
      <c r="F109" s="52"/>
      <c r="G109" s="8"/>
    </row>
    <row r="110" spans="2:7">
      <c r="C110" s="6" t="s">
        <v>85</v>
      </c>
      <c r="D110" s="1" t="s">
        <v>88</v>
      </c>
      <c r="E110" s="7">
        <v>111718</v>
      </c>
      <c r="F110" s="52">
        <f>22241.1+22241.1+22241.1+22241.1+22242</f>
        <v>111206.39999999999</v>
      </c>
      <c r="G110" s="8">
        <f>+F110/E110</f>
        <v>0.9954206126139028</v>
      </c>
    </row>
    <row r="111" spans="2:7">
      <c r="C111" s="6" t="s">
        <v>86</v>
      </c>
      <c r="D111" s="1" t="s">
        <v>89</v>
      </c>
      <c r="E111" s="7"/>
      <c r="F111" s="52"/>
      <c r="G111" s="8"/>
    </row>
    <row r="112" spans="2:7">
      <c r="C112" s="6" t="s">
        <v>87</v>
      </c>
      <c r="D112" s="1" t="s">
        <v>90</v>
      </c>
      <c r="E112" s="7"/>
      <c r="F112" s="52"/>
      <c r="G112" s="8"/>
    </row>
    <row r="113" spans="2:7">
      <c r="C113" s="3"/>
      <c r="F113" s="52"/>
    </row>
    <row r="114" spans="2:7">
      <c r="B114" s="43" t="s">
        <v>96</v>
      </c>
      <c r="C114" s="43"/>
      <c r="D114" s="43"/>
      <c r="E114" s="18">
        <f>+E12+E24+E27+E61+E73+E97+E102+E108</f>
        <v>60718742</v>
      </c>
      <c r="F114" s="53">
        <f>+F12+F24+F27+F61+F73+F97+F102+F108</f>
        <v>25457775.489999995</v>
      </c>
      <c r="G114" s="19">
        <f>+F114/E114</f>
        <v>0.41927376377461828</v>
      </c>
    </row>
    <row r="115" spans="2:7">
      <c r="C115" s="3"/>
      <c r="E115" s="27"/>
      <c r="F115" s="27"/>
      <c r="G115" s="28"/>
    </row>
    <row r="116" spans="2:7">
      <c r="C116" s="3"/>
      <c r="E116" s="29"/>
      <c r="F116" s="29"/>
      <c r="G116" s="24"/>
    </row>
    <row r="117" spans="2:7">
      <c r="C117" s="3"/>
      <c r="E117" s="7"/>
    </row>
    <row r="118" spans="2:7">
      <c r="C118" s="3"/>
      <c r="E118" s="7"/>
    </row>
    <row r="119" spans="2:7">
      <c r="C119" s="3"/>
    </row>
    <row r="120" spans="2:7">
      <c r="C120" s="3"/>
    </row>
    <row r="121" spans="2:7">
      <c r="C121" s="3"/>
    </row>
    <row r="122" spans="2:7">
      <c r="C122" s="3"/>
    </row>
    <row r="123" spans="2:7">
      <c r="C123" s="3"/>
    </row>
    <row r="124" spans="2:7">
      <c r="C124" s="3"/>
    </row>
    <row r="125" spans="2:7">
      <c r="C125" s="3"/>
    </row>
    <row r="126" spans="2:7">
      <c r="C126" s="3"/>
    </row>
    <row r="127" spans="2:7">
      <c r="C127" s="3"/>
    </row>
    <row r="128" spans="2:7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  <row r="1454" spans="3:3">
      <c r="C1454" s="3"/>
    </row>
    <row r="1455" spans="3:3">
      <c r="C1455" s="3"/>
    </row>
    <row r="1456" spans="3:3">
      <c r="C1456" s="3"/>
    </row>
    <row r="1457" spans="3:3">
      <c r="C1457" s="3"/>
    </row>
    <row r="1458" spans="3:3">
      <c r="C1458" s="3"/>
    </row>
    <row r="1459" spans="3:3">
      <c r="C1459" s="3"/>
    </row>
    <row r="1460" spans="3:3">
      <c r="C1460" s="3"/>
    </row>
    <row r="1461" spans="3:3">
      <c r="C1461" s="3"/>
    </row>
    <row r="1462" spans="3:3">
      <c r="C1462" s="3"/>
    </row>
    <row r="1463" spans="3:3">
      <c r="C1463" s="3"/>
    </row>
  </sheetData>
  <mergeCells count="8">
    <mergeCell ref="B114:D114"/>
    <mergeCell ref="B1:G1"/>
    <mergeCell ref="B2:G2"/>
    <mergeCell ref="B3:G3"/>
    <mergeCell ref="B6:D8"/>
    <mergeCell ref="E6:E8"/>
    <mergeCell ref="F6:F8"/>
    <mergeCell ref="G6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RESULTADOS OPERATIVOS en soles</vt:lpstr>
      <vt:lpstr>Hoja1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2009-03-02T16:54:28Z</dcterms:modified>
</cp:coreProperties>
</file>